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195" windowWidth="15360" windowHeight="9000" tabRatio="867" firstSheet="7" activeTab="19"/>
  </bookViews>
  <sheets>
    <sheet name="Bilanss" sheetId="1" r:id="rId1"/>
    <sheet name="KA1" sheetId="2" r:id="rId2"/>
    <sheet name="KA2" sheetId="3" r:id="rId3"/>
    <sheet name="Rahav.ärikas" sheetId="4" r:id="rId4"/>
    <sheet name="OK" sheetId="5" r:id="rId5"/>
    <sheet name="Lisa 2" sheetId="6" r:id="rId6"/>
    <sheet name="Lisa 3" sheetId="7" r:id="rId7"/>
    <sheet name="Lisa 4" sheetId="8" r:id="rId8"/>
    <sheet name="Lisa 5" sheetId="9" r:id="rId9"/>
    <sheet name="Lisa 6" sheetId="10" r:id="rId10"/>
    <sheet name="Lisa 7" sheetId="11" r:id="rId11"/>
    <sheet name="Lisa 8" sheetId="12" r:id="rId12"/>
    <sheet name="Lisa 9" sheetId="13" r:id="rId13"/>
    <sheet name="Lisa 10" sheetId="14" r:id="rId14"/>
    <sheet name="Lisa 11" sheetId="15" r:id="rId15"/>
    <sheet name="Lisa 11 (2)" sheetId="16" r:id="rId16"/>
    <sheet name="Lisa 12" sheetId="17" r:id="rId17"/>
    <sheet name="Lisa 13" sheetId="18" r:id="rId18"/>
    <sheet name="Lisa 14" sheetId="19" r:id="rId19"/>
    <sheet name="Lisa 15" sheetId="20" r:id="rId20"/>
    <sheet name="Lisa 16" sheetId="21" r:id="rId21"/>
    <sheet name="Lisa 17" sheetId="22" r:id="rId22"/>
    <sheet name="lisa 18" sheetId="23" r:id="rId23"/>
    <sheet name="Lisa 19" sheetId="24" r:id="rId24"/>
    <sheet name="Lisa 20" sheetId="25" r:id="rId25"/>
    <sheet name="Lisa 21" sheetId="26" r:id="rId26"/>
    <sheet name="Lisa 22" sheetId="27" r:id="rId27"/>
    <sheet name="Lisa 23" sheetId="28" r:id="rId28"/>
    <sheet name="Lisa 27" sheetId="29" r:id="rId29"/>
    <sheet name="EMTAK" sheetId="30" r:id="rId30"/>
  </sheets>
  <definedNames>
    <definedName name="_ftn1" localSheetId="3">'Rahav.ärikas'!#REF!</definedName>
    <definedName name="_ftnref1" localSheetId="3">'Rahav.ärikas'!#REF!</definedName>
    <definedName name="_Toc84309282" localSheetId="5">'Lisa 2'!$A$1</definedName>
    <definedName name="_Toc84309283" localSheetId="5">'Lisa 2'!$A$10</definedName>
    <definedName name="_Toc87072017" localSheetId="1">'KA1'!$A$1</definedName>
    <definedName name="_Toc87072018" localSheetId="2">'KA2'!$A$1</definedName>
    <definedName name="_Toc87072019" localSheetId="3">'Rahav.ärikas'!$A$1</definedName>
    <definedName name="_Toc87072021" localSheetId="4">'OK'!$A$1</definedName>
    <definedName name="_Toc87072026" localSheetId="7">'Lisa 4'!$A$1</definedName>
    <definedName name="_Toc87072028" localSheetId="8">'Lisa 5'!$A$1</definedName>
    <definedName name="_Toc87072029" localSheetId="9">'Lisa 6'!$A$2</definedName>
    <definedName name="_Toc87072030" localSheetId="10">'Lisa 7'!$A$1</definedName>
    <definedName name="_Toc87072031" localSheetId="11">'Lisa 8'!$A$1</definedName>
    <definedName name="_Toc87072032" localSheetId="12">'Lisa 9'!$A$1</definedName>
    <definedName name="_Toc87072033" localSheetId="13">'Lisa 10'!$A$1</definedName>
    <definedName name="_Toc87072035" localSheetId="16">'Lisa 12'!$A$1</definedName>
    <definedName name="_Toc87072036" localSheetId="17">'Lisa 13'!$A$1</definedName>
    <definedName name="_Toc87072037" localSheetId="18">'Lisa 14'!$A$1</definedName>
    <definedName name="_Toc87072038" localSheetId="19">'Lisa 15'!$A$1</definedName>
    <definedName name="_Toc87072039" localSheetId="21">'Lisa 17'!$A$1</definedName>
    <definedName name="_Toc87072040" localSheetId="20">'Lisa 16'!$A$1</definedName>
    <definedName name="_Toc87072042" localSheetId="23">'Lisa 19'!$A$1</definedName>
    <definedName name="_Toc87072043" localSheetId="29">'EMTAK'!#REF!</definedName>
    <definedName name="_Toc87072043" localSheetId="24">'Lisa 20'!$A$1</definedName>
    <definedName name="_Toc87072044" localSheetId="25">'Lisa 21'!$A$1</definedName>
    <definedName name="_Toc87072045" localSheetId="26">'Lisa 22'!$A$1</definedName>
    <definedName name="_Toc87072046" localSheetId="27">'Lisa 23'!$A$1</definedName>
  </definedNames>
  <calcPr fullCalcOnLoad="1"/>
</workbook>
</file>

<file path=xl/sharedStrings.xml><?xml version="1.0" encoding="utf-8"?>
<sst xmlns="http://schemas.openxmlformats.org/spreadsheetml/2006/main" count="687" uniqueCount="438">
  <si>
    <t>Sularaha kassas</t>
  </si>
  <si>
    <t>Pangakontod</t>
  </si>
  <si>
    <t>Tähtajalised hoiused</t>
  </si>
  <si>
    <t>Lisa 2</t>
  </si>
  <si>
    <t>Lühiajalised aktsiad ja väärtpaberid</t>
  </si>
  <si>
    <t>Aktsiad</t>
  </si>
  <si>
    <t>Võlakirjad (kauplemiseesmärgil soetatud)</t>
  </si>
  <si>
    <t>Fondiosakud</t>
  </si>
  <si>
    <t>Pikaajalised aktsiad ja väärtpaberid</t>
  </si>
  <si>
    <t>Võlakirjad</t>
  </si>
  <si>
    <t>Õiglases väärtuses kokku</t>
  </si>
  <si>
    <t>Võlakirjad (lunastustähtajani hoitavad, tähtajaga üle 1 aasta)</t>
  </si>
  <si>
    <t>Korrigeeritud soetusmaksumuses kokku</t>
  </si>
  <si>
    <t>Lunastustähtajani hoitavate võlakirjade sisemine intressimäär</t>
  </si>
  <si>
    <t>3,1-3,7%</t>
  </si>
  <si>
    <t>3,4-4,5%</t>
  </si>
  <si>
    <t>Lisa 3</t>
  </si>
  <si>
    <t>Nõuded ostjate vastu</t>
  </si>
  <si>
    <t>Ebatõenäoliselt laekuvad arved</t>
  </si>
  <si>
    <t>Nõuded ostjate vastu kokku</t>
  </si>
  <si>
    <t>Lisa 4</t>
  </si>
  <si>
    <t>Ettemakstud tulevaste perioodide kulud</t>
  </si>
  <si>
    <t>Lisa 5</t>
  </si>
  <si>
    <t>Maksud</t>
  </si>
  <si>
    <t>Ettemaks</t>
  </si>
  <si>
    <t>Võlg</t>
  </si>
  <si>
    <t xml:space="preserve">Käibemaks </t>
  </si>
  <si>
    <t>Ettevõtte tulumaks</t>
  </si>
  <si>
    <t>Üksikisiku tulumaks</t>
  </si>
  <si>
    <t>Sotsiaalmaks</t>
  </si>
  <si>
    <t>Kohustuslik kogumispension</t>
  </si>
  <si>
    <t>Töötuskindlustusmaks</t>
  </si>
  <si>
    <t>Lisa 6</t>
  </si>
  <si>
    <t>Varud</t>
  </si>
  <si>
    <t>Tooraine ja materjal</t>
  </si>
  <si>
    <t>Lõpetamata toodang</t>
  </si>
  <si>
    <t>Valmistoodang</t>
  </si>
  <si>
    <t>Varud kokku</t>
  </si>
  <si>
    <t xml:space="preserve">Kokku </t>
  </si>
  <si>
    <t>Lisa 7</t>
  </si>
  <si>
    <t>Pikaajalised finantsinvesteeringud</t>
  </si>
  <si>
    <t>Pikaajalised finantsinvesteeringud kokku</t>
  </si>
  <si>
    <t>Lisa 8</t>
  </si>
  <si>
    <t>Tütar- ja sidusettevõtted</t>
  </si>
  <si>
    <t>KOKKU</t>
  </si>
  <si>
    <t>Asukoht</t>
  </si>
  <si>
    <t>Eesti</t>
  </si>
  <si>
    <t>Leedu</t>
  </si>
  <si>
    <t>Läti</t>
  </si>
  <si>
    <t>Põhitegevusala</t>
  </si>
  <si>
    <t>Elektriseadmete tootmine</t>
  </si>
  <si>
    <t>Elektriseadmete tootmine Leedus</t>
  </si>
  <si>
    <t>Elektriseadmete tootmine Lätis</t>
  </si>
  <si>
    <t>Osaluse % aasta alguses</t>
  </si>
  <si>
    <t>-</t>
  </si>
  <si>
    <t>Osalus investeerimisobjekti omakapitalis aasta alguses</t>
  </si>
  <si>
    <t>Amortiseerimata firmaväärtus</t>
  </si>
  <si>
    <t>Osaluse bilansiline väärtus aasta alguses</t>
  </si>
  <si>
    <t>Omandatud osalused</t>
  </si>
  <si>
    <t>Omandatud osaluse %</t>
  </si>
  <si>
    <t>Omandatud osaluse soetusmaksumus</t>
  </si>
  <si>
    <t>Omandatud netovara õiglane väärtus</t>
  </si>
  <si>
    <t>Firmaväärtus</t>
  </si>
  <si>
    <t>Kapitaliosaluse meetodil arvestatud kasum/kahjum</t>
  </si>
  <si>
    <t>Välismaal asuva tütarettevõtte ümberarvestusel tekkinud valuutakursivahed</t>
  </si>
  <si>
    <t>Saadud dividendid</t>
  </si>
  <si>
    <t>Müüdud osalused</t>
  </si>
  <si>
    <t>Müüdud osaluse %</t>
  </si>
  <si>
    <t>Aruandeaastal müüdud osalus müügihinnas</t>
  </si>
  <si>
    <t>Aruandeaastal müüdud osaluse müügikasum/-kahjum</t>
  </si>
  <si>
    <t>Osaluse % aasta lõpus</t>
  </si>
  <si>
    <t>Osalus investeerimisobjekti omakapitalis aasta lõpus</t>
  </si>
  <si>
    <t>Realiseerimata kursivahed</t>
  </si>
  <si>
    <t>Osaluse bilansiline väärtus aasta lõpus</t>
  </si>
  <si>
    <t>AS Hea ettevõte</t>
  </si>
  <si>
    <t>UAB Kasulik ettevõte</t>
  </si>
  <si>
    <t>Lisa 9</t>
  </si>
  <si>
    <t>Muud lühi- ja pikaajalised nõuded</t>
  </si>
  <si>
    <t>Tagasimakse tähtaeg</t>
  </si>
  <si>
    <t>12 kuu jooksul</t>
  </si>
  <si>
    <t>1-5 aasta jooksul</t>
  </si>
  <si>
    <t>üle 5 aasta</t>
  </si>
  <si>
    <t>Intressi-määr</t>
  </si>
  <si>
    <t>Muud nõuded</t>
  </si>
  <si>
    <t>Kokku</t>
  </si>
  <si>
    <t>Lisa 10</t>
  </si>
  <si>
    <t>Kinnisvarainvesteeringud</t>
  </si>
  <si>
    <t>Kinnisvarainvesteeringutelt teenitud renditulu</t>
  </si>
  <si>
    <t>Kinnisvarainvesteeringute haldamiskulud</t>
  </si>
  <si>
    <t>Netotulu kinnisvarainvesteeringute rentimisest</t>
  </si>
  <si>
    <t>Soetamine ja parendused</t>
  </si>
  <si>
    <t>Kasum/kahjum ümberhindlusest</t>
  </si>
  <si>
    <t>Lisa 11</t>
  </si>
  <si>
    <t>Materiaalne põhivara</t>
  </si>
  <si>
    <t>Maa ja ehitised</t>
  </si>
  <si>
    <t>Masinad ja seadmed</t>
  </si>
  <si>
    <t>Soetusmaksumus</t>
  </si>
  <si>
    <t>Akumuleeritud kulum</t>
  </si>
  <si>
    <t>Jääkmaksumus</t>
  </si>
  <si>
    <t>Ostud ja parendused perioodi jooksul</t>
  </si>
  <si>
    <t>Amortisatsioonikulu</t>
  </si>
  <si>
    <t>Lisa 12</t>
  </si>
  <si>
    <t>Immateriaalne põhivara</t>
  </si>
  <si>
    <t>Lisa 13</t>
  </si>
  <si>
    <t xml:space="preserve">Kapitalirent </t>
  </si>
  <si>
    <t>Kapitalirendile võetud vara varaliikide lõikes:</t>
  </si>
  <si>
    <t>Muu materiaalne põhivara</t>
  </si>
  <si>
    <t>Lisa 14</t>
  </si>
  <si>
    <t>Kasutusrent</t>
  </si>
  <si>
    <t>Järgmiste perioodide renditulu mittekatkestatavatest rendilepingutest:</t>
  </si>
  <si>
    <t>s.h kuni 1 aasta</t>
  </si>
  <si>
    <t xml:space="preserve">     1-5 aastat</t>
  </si>
  <si>
    <t xml:space="preserve">     üle 5 aasta</t>
  </si>
  <si>
    <t>Makstud kasutusrendimakseid perioodi jooksul</t>
  </si>
  <si>
    <t>Järgmiste perioodide kasutusrendimaksed mittekatkestatavatest rendilepingutest:</t>
  </si>
  <si>
    <t>Lisa 15</t>
  </si>
  <si>
    <t>Pikaajalised pangalaenud</t>
  </si>
  <si>
    <t>5.5%</t>
  </si>
  <si>
    <t xml:space="preserve">      AS Eesti Ühispank</t>
  </si>
  <si>
    <t>5.0%</t>
  </si>
  <si>
    <t>Kapitalirendikohustused</t>
  </si>
  <si>
    <t>12-15%</t>
  </si>
  <si>
    <t>Faktooringukohustus</t>
  </si>
  <si>
    <t>6.5%</t>
  </si>
  <si>
    <t>Lühiajalised laenud</t>
  </si>
  <si>
    <t>Lisa 16</t>
  </si>
  <si>
    <t>Muud võlad</t>
  </si>
  <si>
    <t>Lisa 17</t>
  </si>
  <si>
    <t>Võlad töövõtjatele</t>
  </si>
  <si>
    <t>Lisa 19</t>
  </si>
  <si>
    <t>Omakapital</t>
  </si>
  <si>
    <t>Aktsiate arv (tk)</t>
  </si>
  <si>
    <t>Aktsiate nimiväärtus (kroonides)</t>
  </si>
  <si>
    <t>Lisa 20</t>
  </si>
  <si>
    <t>Müügitulu</t>
  </si>
  <si>
    <t>Geograafilised piirkonnad</t>
  </si>
  <si>
    <t>Soome</t>
  </si>
  <si>
    <t xml:space="preserve">Rootsi </t>
  </si>
  <si>
    <t>Jaapan</t>
  </si>
  <si>
    <t>Muud</t>
  </si>
  <si>
    <t>Lisa 21</t>
  </si>
  <si>
    <t>Muud äritulud</t>
  </si>
  <si>
    <t>Tulu põhivara müügist</t>
  </si>
  <si>
    <t>Kahjude hüvitus, saadud viivised</t>
  </si>
  <si>
    <t>Kasum valuutakursi muutustest</t>
  </si>
  <si>
    <t>Muud äritulud kokku</t>
  </si>
  <si>
    <t>Lisa 22</t>
  </si>
  <si>
    <t>Kaubad, toore, materjal ja teenused</t>
  </si>
  <si>
    <t>Kaubad müügiks</t>
  </si>
  <si>
    <t>Elekter ja küte</t>
  </si>
  <si>
    <t>Remondimaterjalid, tööriistad ja inventar</t>
  </si>
  <si>
    <t>Alltöövõtutööd</t>
  </si>
  <si>
    <t>Muud teenused</t>
  </si>
  <si>
    <t>Kaubad, toore, materjal ja teenused kokku</t>
  </si>
  <si>
    <t>Lisa 23</t>
  </si>
  <si>
    <t>Sihtfinantseerimine</t>
  </si>
  <si>
    <t>AS Megakasum on saanud sihtfinantseerimise korras:</t>
  </si>
  <si>
    <t>Tegevuskulude finantseerimine</t>
  </si>
  <si>
    <t>Kasutamata sihtfinantseerimise jääk perioodi alguses</t>
  </si>
  <si>
    <t>Saadud Vabariigi valitsuselt</t>
  </si>
  <si>
    <t>Kajastatud sihtfinantseerimise tuluna</t>
  </si>
  <si>
    <t>Varade sihtfinantseerimine</t>
  </si>
  <si>
    <t>Amortiseerimata jääk perioodi alguses</t>
  </si>
  <si>
    <t>Saadud Vabariigi Valitsuselt</t>
  </si>
  <si>
    <t>Amortiseeritud tulusse</t>
  </si>
  <si>
    <t>Mitterahaline toetus</t>
  </si>
  <si>
    <t>Saadud PHARE'lt</t>
  </si>
  <si>
    <t>Ostud</t>
  </si>
  <si>
    <t>Müügid</t>
  </si>
  <si>
    <t>Sidusettevõtted</t>
  </si>
  <si>
    <t>Kaupade ost-müük kokku</t>
  </si>
  <si>
    <t>Põhivara ost-müük kokku</t>
  </si>
  <si>
    <t>Teised samasse konsolideerimisgruppi kuuluvad ettevõtted</t>
  </si>
  <si>
    <t>Juhatuse liikmetega seotud ettevõtted</t>
  </si>
  <si>
    <t>Teenuste ost-müük kokku</t>
  </si>
  <si>
    <t>Lühiajalised nõuded kokku</t>
  </si>
  <si>
    <t>Pikaajalised nõuded kokku</t>
  </si>
  <si>
    <t>Lühiajalised kohustused kokku</t>
  </si>
  <si>
    <t>Pikaajalised kohustused kokku</t>
  </si>
  <si>
    <t xml:space="preserve"> </t>
  </si>
  <si>
    <t>Sidusettevõtete aktsiad ja osad (lisa 8)</t>
  </si>
  <si>
    <t>Muud pikaajalised nõuded (lisa 9)</t>
  </si>
  <si>
    <t>Maksude ettemaksed ja tagasinõuded (lisa 5)</t>
  </si>
  <si>
    <t>Kinnisvara- investeeringud</t>
  </si>
  <si>
    <t>Muu inventar</t>
  </si>
  <si>
    <t>Tulu kasutusrendist (lisa 14)</t>
  </si>
  <si>
    <t>Tulu sihtfinantseerimisest (lisa 23)</t>
  </si>
  <si>
    <t>Lisa 27</t>
  </si>
  <si>
    <t>Tehingud seotud osapooltega</t>
  </si>
  <si>
    <t>Saldod seotud osapooltega:</t>
  </si>
  <si>
    <t>Bilanss</t>
  </si>
  <si>
    <t>(kroonides)</t>
  </si>
  <si>
    <t>Lisa nr</t>
  </si>
  <si>
    <t>Käibevara</t>
  </si>
  <si>
    <t>Käibevara kokku</t>
  </si>
  <si>
    <t>Põhivara</t>
  </si>
  <si>
    <t>Põhivara kokku</t>
  </si>
  <si>
    <t>Lühiajalised kohustused</t>
  </si>
  <si>
    <t>Lühiajalised eraldised</t>
  </si>
  <si>
    <t xml:space="preserve">Pikaajalised kohustused </t>
  </si>
  <si>
    <t>Muud pikaajalised võlad</t>
  </si>
  <si>
    <t>KOHUSTUSED KOKKU</t>
  </si>
  <si>
    <t>Aktsiakapital</t>
  </si>
  <si>
    <t>Ülekurss</t>
  </si>
  <si>
    <t>Omaaktsiad ja osad</t>
  </si>
  <si>
    <t>Kohustuslik reservkapital</t>
  </si>
  <si>
    <t>Aruandeaasta kasum (kahjum)</t>
  </si>
  <si>
    <t xml:space="preserve">OMAKAPITAL KOKKU </t>
  </si>
  <si>
    <t>Omakapitali muutuste aruanne</t>
  </si>
  <si>
    <t>Aktsia-kapital</t>
  </si>
  <si>
    <t>Oma-aktsiad</t>
  </si>
  <si>
    <t>Kohus-tuslik reserv-kapital</t>
  </si>
  <si>
    <t xml:space="preserve">     Arvestuspõhimõtete muutmise mõju</t>
  </si>
  <si>
    <t>Kohustusliku reservkapitali suurendamine</t>
  </si>
  <si>
    <t>Makstud dividendid</t>
  </si>
  <si>
    <t>Emiteeritud aktsiakapital</t>
  </si>
  <si>
    <t>Tagasiostetud omaaktsiad</t>
  </si>
  <si>
    <t>Aruandeperioodi puhaskasum</t>
  </si>
  <si>
    <t>Valmis- ja lõpetamata toodangu varude jääkide muutus</t>
  </si>
  <si>
    <t>Tööjõu kulud</t>
  </si>
  <si>
    <t>Palgakulu</t>
  </si>
  <si>
    <t>Tööjõu kulud kokku</t>
  </si>
  <si>
    <t>Põhivara kulum ja väärtuse langus</t>
  </si>
  <si>
    <t>Muud ärikulud</t>
  </si>
  <si>
    <t>Finantstulud ja -kulud</t>
  </si>
  <si>
    <t>Intressikulud</t>
  </si>
  <si>
    <t>Kasum (-kahjum) valuutakursi muutustest</t>
  </si>
  <si>
    <t>Muud finantstulud ja -kulud</t>
  </si>
  <si>
    <t>Finantstulud ja -kulud kokku</t>
  </si>
  <si>
    <t>Tulumaks</t>
  </si>
  <si>
    <t>Müüdud toodangu (kaupade, teenuste) kulu</t>
  </si>
  <si>
    <t>Brutokasum</t>
  </si>
  <si>
    <t>Turustuskulud</t>
  </si>
  <si>
    <t>Üldhalduskulud</t>
  </si>
  <si>
    <t>Aktsiakapital (kroonides)</t>
  </si>
  <si>
    <t>Tuluna kajastatud toetus kokku (lisa 21)</t>
  </si>
  <si>
    <r>
      <t xml:space="preserve">Rahavoogude aruanne </t>
    </r>
    <r>
      <rPr>
        <b/>
        <sz val="12"/>
        <color indexed="12"/>
        <rFont val="Times New Roman"/>
        <family val="1"/>
      </rPr>
      <t>[alustades ärikasumist]</t>
    </r>
  </si>
  <si>
    <t>Rahavood äritegevusest</t>
  </si>
  <si>
    <t>Ärikasum</t>
  </si>
  <si>
    <t>Korrigeerimised:</t>
  </si>
  <si>
    <t>Kasum (kahjum) põhivara müügist ja mahakandmisest</t>
  </si>
  <si>
    <t xml:space="preserve">Äritegevusega seotud nõuete ja ettemaksete muutus </t>
  </si>
  <si>
    <t>Varude muutus</t>
  </si>
  <si>
    <t xml:space="preserve">Äritegevusega seotud kohustuste ja ettemaksete muutus </t>
  </si>
  <si>
    <t>Makstud intressid</t>
  </si>
  <si>
    <t>Makstud ettevõtte tulumaks</t>
  </si>
  <si>
    <t>Kokku rahavood äritegevusest</t>
  </si>
  <si>
    <t>Rahavood investeerimistegevusest</t>
  </si>
  <si>
    <t>Tütarettevõtete müük</t>
  </si>
  <si>
    <t>Muude finantsinvesteeringute soetus</t>
  </si>
  <si>
    <t>Muude finantsinvesteeringute müük</t>
  </si>
  <si>
    <t>Antud laenud</t>
  </si>
  <si>
    <t>Antud laenude tagasimaksed</t>
  </si>
  <si>
    <t>Saadud intressid</t>
  </si>
  <si>
    <t>Kokku rahavood investeerimistegevusest</t>
  </si>
  <si>
    <t>Rahavood finantseerimistegevusest</t>
  </si>
  <si>
    <t>Saadud laenud, emiteeritud võlakirjad</t>
  </si>
  <si>
    <t>Saadud laenude tagasimaksed</t>
  </si>
  <si>
    <t>Aktsiate emiteerimine</t>
  </si>
  <si>
    <t>Omaaktsiate tagasiostmine</t>
  </si>
  <si>
    <t>Kokku rahavood finantseerimistegevusest</t>
  </si>
  <si>
    <t>Rahavood kokku</t>
  </si>
  <si>
    <t>Raha ja raha ekvivalendid perioodi alguses</t>
  </si>
  <si>
    <t>Raha ja raha ekvivalentide muutus</t>
  </si>
  <si>
    <t>Raha ja raha ekvivalendid perioodi lõpus</t>
  </si>
  <si>
    <t>Realisee-rimata valuuta-kursi-vahed</t>
  </si>
  <si>
    <t>Vahe!</t>
  </si>
  <si>
    <t>Valuutakursi muutuste mõju</t>
  </si>
  <si>
    <t>Muud äritulud ja muud ärikulud</t>
  </si>
  <si>
    <t>Kahjum valuutakursi muutusest</t>
  </si>
  <si>
    <t>Kingitused</t>
  </si>
  <si>
    <t>Viivised ja trahvid</t>
  </si>
  <si>
    <t>Ärikulud</t>
  </si>
  <si>
    <t>Müüdud toodangu kulu</t>
  </si>
  <si>
    <t>Materjalid</t>
  </si>
  <si>
    <t>Ostukaubad</t>
  </si>
  <si>
    <t>Transpordikulu</t>
  </si>
  <si>
    <t>Vee-, elektri- ja soojusenergia kulu</t>
  </si>
  <si>
    <t>Tööjõukulu</t>
  </si>
  <si>
    <t>Põhivara amortisatsioon ja väärtuse langus</t>
  </si>
  <si>
    <t>Muud kulud</t>
  </si>
  <si>
    <t>Müüdud toodangu kulu kokku</t>
  </si>
  <si>
    <t>Reklaamikulu</t>
  </si>
  <si>
    <t>Turustuskulud kokku</t>
  </si>
  <si>
    <t>Rent</t>
  </si>
  <si>
    <t>Side- ja kontorikulud</t>
  </si>
  <si>
    <t>Ostetud teenused</t>
  </si>
  <si>
    <t>Üldhalduskulud kokku</t>
  </si>
  <si>
    <t xml:space="preserve">KA skeem 2 </t>
  </si>
  <si>
    <t>Elektriseadmete komponentide valmistamine</t>
  </si>
  <si>
    <t>Elektriseadmete müük</t>
  </si>
  <si>
    <t>Kasutamata sihtfinantseerimise jääk perioodi lõpus (lisa 17)</t>
  </si>
  <si>
    <t>Amortiseerimata jääk perioodi lõpus (lisa 17)</t>
  </si>
  <si>
    <t>Juhatuse liikmega seotud ettevõtted</t>
  </si>
  <si>
    <r>
      <t xml:space="preserve">Kasumiaruanne </t>
    </r>
    <r>
      <rPr>
        <b/>
        <i/>
        <sz val="11"/>
        <color indexed="50"/>
        <rFont val="Times New Roman"/>
        <family val="1"/>
      </rPr>
      <t>[SKEEM 1]</t>
    </r>
  </si>
  <si>
    <r>
      <t xml:space="preserve">Ärikasum </t>
    </r>
    <r>
      <rPr>
        <b/>
        <i/>
        <sz val="11"/>
        <color indexed="12"/>
        <rFont val="Times New Roman"/>
        <family val="1"/>
      </rPr>
      <t>(-kahjum)</t>
    </r>
  </si>
  <si>
    <r>
      <t xml:space="preserve">Kasum </t>
    </r>
    <r>
      <rPr>
        <b/>
        <i/>
        <sz val="11"/>
        <color indexed="12"/>
        <rFont val="Times New Roman"/>
        <family val="1"/>
      </rPr>
      <t>(kahjum)</t>
    </r>
    <r>
      <rPr>
        <b/>
        <sz val="11"/>
        <color indexed="8"/>
        <rFont val="Times New Roman"/>
        <family val="1"/>
      </rPr>
      <t xml:space="preserve"> enne tulumaksustamist</t>
    </r>
  </si>
  <si>
    <r>
      <t xml:space="preserve">Aruandeaasta puhaskasum </t>
    </r>
    <r>
      <rPr>
        <b/>
        <i/>
        <sz val="11"/>
        <color indexed="12"/>
        <rFont val="Times New Roman"/>
        <family val="1"/>
      </rPr>
      <t>(-kahjum)</t>
    </r>
  </si>
  <si>
    <r>
      <t xml:space="preserve">Kasumiaruanne </t>
    </r>
    <r>
      <rPr>
        <b/>
        <i/>
        <sz val="11"/>
        <color indexed="50"/>
        <rFont val="Times New Roman"/>
        <family val="1"/>
      </rPr>
      <t>[SKEEM 2]</t>
    </r>
  </si>
  <si>
    <t>Kapitalis. väljaminekud oma tarbeks põhivara valmistamisel</t>
  </si>
  <si>
    <t>Ostetud litsentsid</t>
  </si>
  <si>
    <t>Lõpeta-mata põhivara</t>
  </si>
  <si>
    <t>Ettemaks põhivara eest</t>
  </si>
  <si>
    <t>Soetamine</t>
  </si>
  <si>
    <t xml:space="preserve"> sh lõpet-ta ehitusest ja ettemaksetelt</t>
  </si>
  <si>
    <t xml:space="preserve"> sh kapitalirendiga</t>
  </si>
  <si>
    <t>Müük (-)</t>
  </si>
  <si>
    <t>Mahakandmine (-)</t>
  </si>
  <si>
    <t>Ümberklassifits. kinnisvarainvesteeringuks</t>
  </si>
  <si>
    <t>Aruandeaastal arvestatud kulum (+)</t>
  </si>
  <si>
    <t>Müüdud põhivara kulum (-)</t>
  </si>
  <si>
    <t>Mahakantud põhivara kulum (-)</t>
  </si>
  <si>
    <t>Tehtud mitterah. sissem. pv kulum (-)</t>
  </si>
  <si>
    <t>Allahindlus (+)</t>
  </si>
  <si>
    <t>AS X</t>
  </si>
  <si>
    <t>UAB X</t>
  </si>
  <si>
    <t>SIA X</t>
  </si>
  <si>
    <t>Nõuded aktsionäride vastu (lisa 27)</t>
  </si>
  <si>
    <t>Saadud kasutusrenditulu (lisa 21)</t>
  </si>
  <si>
    <t>Tegevusalad/ tooted</t>
  </si>
  <si>
    <t>Sotsiaalmaksud</t>
  </si>
  <si>
    <t>muutus</t>
  </si>
  <si>
    <t>Raha</t>
  </si>
  <si>
    <t>Lühiajalised finantsinvesteeringud</t>
  </si>
  <si>
    <t>Raha kokku</t>
  </si>
  <si>
    <t>Laenukohustused</t>
  </si>
  <si>
    <t>Pikaajalised laenukohustused</t>
  </si>
  <si>
    <t>Nõuded ja ettemaksed</t>
  </si>
  <si>
    <t>Müügiootel põhivarad</t>
  </si>
  <si>
    <t>AKTIVA (VARAD)</t>
  </si>
  <si>
    <t>AKTIVA (VARAD) KOKKU</t>
  </si>
  <si>
    <t>PASSIVA (KOHUSTUSED JA OMAKAPITAL)</t>
  </si>
  <si>
    <t>Võlad ja ettemaksed</t>
  </si>
  <si>
    <t>Vähemusosalus*</t>
  </si>
  <si>
    <t>Emaettevõtja aktsionäridele või osanikele kuuluv omakapital*</t>
  </si>
  <si>
    <t>Eelmiste perioodide jaotamata kasum (kahjum)</t>
  </si>
  <si>
    <t>PASSIVA (KOHUSTUSED JA OMAKAPITAL) KOKKU</t>
  </si>
  <si>
    <t>* kirjet kasutatakse ainult konsolideeritud aruannetes</t>
  </si>
  <si>
    <t>OMAKAPITAL</t>
  </si>
  <si>
    <t xml:space="preserve">Mitmesugused tegevuskulud </t>
  </si>
  <si>
    <t>Finantstulud ja -kulud investeeringutelt tütarettevõttesse</t>
  </si>
  <si>
    <t>Finantstulud ja -kulud investeeringutelt sidusettevõtetesse</t>
  </si>
  <si>
    <t>Finantstulud ja -kulud muudelt pikaajalistelt finantsinvesteeringutelt</t>
  </si>
  <si>
    <t xml:space="preserve">* </t>
  </si>
  <si>
    <t>kirjet kasutatakse ainult konsolideeritud kasumiaruandes</t>
  </si>
  <si>
    <t>s.h Emaettevõtte omanike osas puhaskasumist*</t>
  </si>
  <si>
    <t xml:space="preserve">      Vähemusomanike osa puhaskasumist*</t>
  </si>
  <si>
    <t>* kirjet kasutatakse ainult konsolideeritud kasumiaruandes</t>
  </si>
  <si>
    <t>Materiaalse ja immateriaalse põhivara müük</t>
  </si>
  <si>
    <t>Tütarettevõtete soetus</t>
  </si>
  <si>
    <t>Sidusettevõtete soetus</t>
  </si>
  <si>
    <t>Sidusettevõtete müük</t>
  </si>
  <si>
    <t>Kapitalirendi põhiosa tagasimaksed</t>
  </si>
  <si>
    <t>Jaotamata kasum/  kahjum</t>
  </si>
  <si>
    <t xml:space="preserve">Aruandeperioodi puhaskasum </t>
  </si>
  <si>
    <t>Saldo seisuga 31.12.2006</t>
  </si>
  <si>
    <t>Saldo 31.12.2006</t>
  </si>
  <si>
    <t>Soetusmaksumus 31.12.2006</t>
  </si>
  <si>
    <t>Akumuleeritud kulum 31.12.2006</t>
  </si>
  <si>
    <t>Jääkmaksumus 31.12.2006</t>
  </si>
  <si>
    <t>Muu immateriaalne põhivara</t>
  </si>
  <si>
    <t>Ettemaksed immateriaalse põhivara eest</t>
  </si>
  <si>
    <t>Tütarettevõtted*</t>
  </si>
  <si>
    <t>Nõuded ja ettemaksed kokku</t>
  </si>
  <si>
    <t xml:space="preserve">     Intressid</t>
  </si>
  <si>
    <t xml:space="preserve">     Muud viitlaekumised</t>
  </si>
  <si>
    <t xml:space="preserve">Lühiajalised aktsiad ja väärtpaberid õiglases väärtuses kokku </t>
  </si>
  <si>
    <t xml:space="preserve">Müügiks ostetud kaubad </t>
  </si>
  <si>
    <t>Ettemaksed varude eest</t>
  </si>
  <si>
    <t xml:space="preserve">Seoses varude realiseerimismaksumuse langemisega alla soetusmaksumuse on varusid alla hinnatud </t>
  </si>
  <si>
    <t>ja kuludesse kantud järgmiselt:</t>
  </si>
  <si>
    <t>Muud aktsiad ja väärtpaberid (lisa 3)</t>
  </si>
  <si>
    <t>Kinnisvarainvesteeringutes toimunud muutused:</t>
  </si>
  <si>
    <t>AS Megakasum rendib kasutusrendi tingimustel välja järgmiseid masinaid ja seadmeid:</t>
  </si>
  <si>
    <t>s.h AS Sampo pank</t>
  </si>
  <si>
    <t>Võlad tarnijatele</t>
  </si>
  <si>
    <t>Saadud ettemaksed</t>
  </si>
  <si>
    <t>Võlad ja ettemaksed kokku</t>
  </si>
  <si>
    <t>AS Megakasum müügitulu jaguneb geograafiliste piirkondade lõikes järgnevalt:</t>
  </si>
  <si>
    <t>AS Megakasum müügitulu jaguneb tegevusalade lõikes järgnevalt:</t>
  </si>
  <si>
    <t>Muud võlad (lisa 17)</t>
  </si>
  <si>
    <t>Maksuvõlad (lisa 5)</t>
  </si>
  <si>
    <t>Eraldised</t>
  </si>
  <si>
    <t>Lisa 18</t>
  </si>
  <si>
    <t>AS Megakasum annab vastavalt klientidega sõlmitud lepingutele kauba müügil kuni 2-aastase garantii.</t>
  </si>
  <si>
    <t>Garantiiperioodil on ettevõte kohustatud tasuta parandama või välja vahetama praakkauba.</t>
  </si>
  <si>
    <t xml:space="preserve">Garantiieraldis on moodustatud tuginedes varasemate perioodide müüdud ja tagastatud kaupade  </t>
  </si>
  <si>
    <t>Ettemaksed kokku</t>
  </si>
  <si>
    <t>Pikaajalised aktsiad ja väärtpaberid kokku (lisa 7)</t>
  </si>
  <si>
    <t>s.h pikaajaline laenukohustus</t>
  </si>
  <si>
    <t>s.h pikaajalised võlad</t>
  </si>
  <si>
    <t>Pikaajalised eraldised</t>
  </si>
  <si>
    <t>s.h Emaettevõtte omanike osa puhaskasumist*</t>
  </si>
  <si>
    <t>Finantstulud ja -kulud investeeringutelt tütarettevõtetesse</t>
  </si>
  <si>
    <t>Materiaalse ja immateriaalse põhivara soetus</t>
  </si>
  <si>
    <t>s.h pikaajalised nõuded</t>
  </si>
  <si>
    <t>Aktsiad ja väärtpaberid</t>
  </si>
  <si>
    <t>Muud lühiajalised nõuded (lisa 9)</t>
  </si>
  <si>
    <t>tm</t>
  </si>
  <si>
    <t>jaotada</t>
  </si>
  <si>
    <t>reservi</t>
  </si>
  <si>
    <t>vaba ok</t>
  </si>
  <si>
    <t>jagada</t>
  </si>
  <si>
    <t>Saldo seisuga 31.12.2007</t>
  </si>
  <si>
    <t>Saldo 31.12.2007</t>
  </si>
  <si>
    <t>Soetusmaksumus 31.12.2007</t>
  </si>
  <si>
    <t>Akumuleeritud kulum 31.12.2007</t>
  </si>
  <si>
    <t>Jääkmaksumus 31.12.2007</t>
  </si>
  <si>
    <t>2007. a toimunud muutused</t>
  </si>
  <si>
    <t xml:space="preserve">     Saldo 2005.a. aastaaruandes</t>
  </si>
  <si>
    <t>Puidu saagimine ja hööveldamine; puidu immutamine (2010)</t>
  </si>
  <si>
    <t>Ehituspuusepa ja –tisleritoodete tootmine (2030)</t>
  </si>
  <si>
    <t>Kaubavedu maanteel (6024)</t>
  </si>
  <si>
    <t>Enda kinnisvara rendileandmine (7020)</t>
  </si>
  <si>
    <t>Korrigeeritud saldo seisuga 31.12.2006</t>
  </si>
  <si>
    <t>Saldo seisuga 31.12.2008</t>
  </si>
  <si>
    <r>
      <t xml:space="preserve">2008. a omas AS </t>
    </r>
    <r>
      <rPr>
        <sz val="11"/>
        <color indexed="48"/>
        <rFont val="Times New Roman"/>
        <family val="1"/>
      </rPr>
      <t>Megakasum</t>
    </r>
    <r>
      <rPr>
        <sz val="11"/>
        <rFont val="Times New Roman"/>
        <family val="1"/>
      </rPr>
      <t xml:space="preserve"> osalusi järgmistes tütarettevõtetes:</t>
    </r>
  </si>
  <si>
    <r>
      <t xml:space="preserve">2008. a omas AS </t>
    </r>
    <r>
      <rPr>
        <sz val="11"/>
        <color indexed="48"/>
        <rFont val="Times New Roman"/>
        <family val="1"/>
      </rPr>
      <t>Megakasum</t>
    </r>
    <r>
      <rPr>
        <sz val="11"/>
        <rFont val="Times New Roman"/>
        <family val="1"/>
      </rPr>
      <t xml:space="preserve"> osalusi järgmistes sidusettevõtetes:</t>
    </r>
  </si>
  <si>
    <t>Saldo 31.12.2008</t>
  </si>
  <si>
    <t>Soetusmaksumus 31.12.2008</t>
  </si>
  <si>
    <t>Akumuleeritud kulum 31.12.2008</t>
  </si>
  <si>
    <t>Jääkmaksumus 31.12.2008</t>
  </si>
  <si>
    <t>2008. a toimunud muutused</t>
  </si>
  <si>
    <t>kogustele. Lühiajalise eraldisena on kajastatud 120 tuhat krooni (31.12.2007 vastavalt 150 tuhat krooni) ja</t>
  </si>
  <si>
    <t>pikaajalise erladisena 5  tuhat krooni (31.12.2007 vastavalt 20 tuhat krooni).</t>
  </si>
  <si>
    <t>2-5 aasta jooksul</t>
  </si>
  <si>
    <t>Mööblitootmine</t>
  </si>
  <si>
    <t>Transporditeenused</t>
  </si>
  <si>
    <t>Üüritulu</t>
  </si>
  <si>
    <t>Sae- ja höövelmaterjali tootmine</t>
  </si>
  <si>
    <t>Sidusettevõtted (lisa 17)</t>
  </si>
  <si>
    <t>s.h Laenunõuded sidusettevõtte ja aktsionäri vastu (lisa 27)</t>
  </si>
  <si>
    <t>Laen sidusettevõttele (lisa 27)</t>
  </si>
  <si>
    <t>Sidusettevõtted (lisa 9)</t>
  </si>
  <si>
    <t>Aktsionär (lisa 9)</t>
  </si>
  <si>
    <t>Aktsionär (lisa 4)</t>
  </si>
  <si>
    <t>Sidusettevõtted (lisa 4, 9)</t>
  </si>
  <si>
    <t>Laenuvõlad sidusettevõtetele (lisa 27)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</si>
</sst>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_k_r_-;\-* #,##0.0\ _k_r_-;_-* &quot;-&quot;??\ _k_r_-;_-@_-"/>
    <numFmt numFmtId="168" formatCode="_-* #,##0\ _k_r_-;\-* #,##0\ _k_r_-;_-* &quot;-&quot;??\ _k_r_-;_-@_-"/>
  </numFmts>
  <fonts count="2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48"/>
      <name val="Times New Roman"/>
      <family val="1"/>
    </font>
    <font>
      <i/>
      <sz val="11"/>
      <name val="Arial"/>
      <family val="2"/>
    </font>
    <font>
      <b/>
      <i/>
      <sz val="11"/>
      <color indexed="50"/>
      <name val="Times New Roman"/>
      <family val="1"/>
    </font>
    <font>
      <b/>
      <i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i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0" fillId="2" borderId="0" xfId="0" applyNumberFormat="1" applyFill="1" applyAlignment="1">
      <alignment/>
    </xf>
    <xf numFmtId="3" fontId="0" fillId="0" borderId="0" xfId="0" applyNumberFormat="1" applyAlignment="1">
      <alignment/>
    </xf>
    <xf numFmtId="14" fontId="9" fillId="0" borderId="1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2" xfId="0" applyFont="1" applyBorder="1" applyAlignment="1">
      <alignment horizontal="justify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3" xfId="0" applyFont="1" applyBorder="1" applyAlignment="1">
      <alignment/>
    </xf>
    <xf numFmtId="0" fontId="9" fillId="0" borderId="0" xfId="0" applyFont="1" applyBorder="1" applyAlignment="1">
      <alignment horizontal="justify"/>
    </xf>
    <xf numFmtId="3" fontId="12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 wrapText="1"/>
    </xf>
    <xf numFmtId="14" fontId="9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3" borderId="1" xfId="0" applyFont="1" applyFill="1" applyBorder="1" applyAlignment="1">
      <alignment vertical="top" wrapText="1"/>
    </xf>
    <xf numFmtId="14" fontId="9" fillId="3" borderId="1" xfId="0" applyNumberFormat="1" applyFont="1" applyFill="1" applyBorder="1" applyAlignment="1">
      <alignment horizontal="right" vertical="top" wrapText="1"/>
    </xf>
    <xf numFmtId="0" fontId="12" fillId="3" borderId="0" xfId="0" applyFont="1" applyFill="1" applyAlignment="1">
      <alignment vertical="top" wrapText="1"/>
    </xf>
    <xf numFmtId="3" fontId="12" fillId="3" borderId="0" xfId="0" applyNumberFormat="1" applyFont="1" applyFill="1" applyAlignment="1">
      <alignment horizontal="right" vertical="top" wrapText="1"/>
    </xf>
    <xf numFmtId="0" fontId="13" fillId="3" borderId="4" xfId="0" applyFont="1" applyFill="1" applyBorder="1" applyAlignment="1">
      <alignment vertical="top" wrapText="1"/>
    </xf>
    <xf numFmtId="3" fontId="13" fillId="3" borderId="4" xfId="0" applyNumberFormat="1" applyFont="1" applyFill="1" applyBorder="1" applyAlignment="1">
      <alignment horizontal="right" vertical="top" wrapText="1"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 horizontal="right" vertical="top" wrapText="1"/>
    </xf>
    <xf numFmtId="0" fontId="9" fillId="3" borderId="4" xfId="0" applyFont="1" applyFill="1" applyBorder="1" applyAlignment="1">
      <alignment/>
    </xf>
    <xf numFmtId="3" fontId="9" fillId="3" borderId="4" xfId="0" applyNumberFormat="1" applyFont="1" applyFill="1" applyBorder="1" applyAlignment="1">
      <alignment horizontal="right"/>
    </xf>
    <xf numFmtId="0" fontId="14" fillId="3" borderId="0" xfId="0" applyFont="1" applyFill="1" applyAlignment="1">
      <alignment/>
    </xf>
    <xf numFmtId="0" fontId="9" fillId="3" borderId="1" xfId="0" applyFont="1" applyFill="1" applyBorder="1" applyAlignment="1">
      <alignment horizontal="right" vertical="top" wrapText="1"/>
    </xf>
    <xf numFmtId="0" fontId="12" fillId="3" borderId="0" xfId="0" applyFont="1" applyFill="1" applyAlignment="1">
      <alignment vertical="top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3" fontId="12" fillId="0" borderId="1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3" fontId="13" fillId="0" borderId="0" xfId="0" applyNumberFormat="1" applyFont="1" applyAlignment="1">
      <alignment horizontal="right"/>
    </xf>
    <xf numFmtId="0" fontId="11" fillId="0" borderId="0" xfId="0" applyFont="1" applyAlignment="1">
      <alignment horizontal="right" wrapText="1"/>
    </xf>
    <xf numFmtId="0" fontId="13" fillId="0" borderId="1" xfId="0" applyFont="1" applyBorder="1" applyAlignment="1">
      <alignment horizontal="right"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3" fontId="13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 wrapText="1"/>
    </xf>
    <xf numFmtId="3" fontId="9" fillId="0" borderId="1" xfId="0" applyNumberFormat="1" applyFont="1" applyBorder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3" fontId="13" fillId="0" borderId="1" xfId="0" applyNumberFormat="1" applyFont="1" applyBorder="1" applyAlignment="1">
      <alignment horizontal="right" wrapText="1"/>
    </xf>
    <xf numFmtId="0" fontId="11" fillId="0" borderId="0" xfId="0" applyFont="1" applyAlignment="1">
      <alignment horizontal="right"/>
    </xf>
    <xf numFmtId="0" fontId="13" fillId="0" borderId="1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1" xfId="0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11" fillId="0" borderId="1" xfId="0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3" fontId="17" fillId="0" borderId="0" xfId="0" applyNumberFormat="1" applyFont="1" applyAlignment="1">
      <alignment horizontal="right"/>
    </xf>
    <xf numFmtId="3" fontId="17" fillId="0" borderId="1" xfId="0" applyNumberFormat="1" applyFont="1" applyBorder="1" applyAlignment="1">
      <alignment horizontal="right"/>
    </xf>
    <xf numFmtId="9" fontId="11" fillId="0" borderId="1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3" fontId="16" fillId="0" borderId="0" xfId="0" applyNumberFormat="1" applyFont="1" applyAlignment="1">
      <alignment horizontal="right"/>
    </xf>
    <xf numFmtId="9" fontId="11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1" xfId="0" applyFont="1" applyBorder="1" applyAlignment="1">
      <alignment horizontal="right"/>
    </xf>
    <xf numFmtId="0" fontId="9" fillId="3" borderId="1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9" fillId="0" borderId="1" xfId="0" applyFont="1" applyBorder="1" applyAlignment="1">
      <alignment horizontal="right" vertical="top"/>
    </xf>
    <xf numFmtId="3" fontId="11" fillId="0" borderId="0" xfId="0" applyNumberFormat="1" applyFont="1" applyAlignment="1">
      <alignment horizontal="right" vertical="top"/>
    </xf>
    <xf numFmtId="3" fontId="11" fillId="0" borderId="1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3" fontId="9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3" xfId="0" applyFont="1" applyBorder="1" applyAlignment="1">
      <alignment horizontal="justify"/>
    </xf>
    <xf numFmtId="3" fontId="1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6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2" fillId="3" borderId="1" xfId="0" applyFont="1" applyFill="1" applyBorder="1" applyAlignment="1">
      <alignment vertical="top" wrapText="1"/>
    </xf>
    <xf numFmtId="3" fontId="11" fillId="3" borderId="0" xfId="0" applyNumberFormat="1" applyFont="1" applyFill="1" applyAlignment="1">
      <alignment horizontal="right" vertical="top"/>
    </xf>
    <xf numFmtId="3" fontId="11" fillId="3" borderId="1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3" borderId="1" xfId="0" applyFont="1" applyFill="1" applyBorder="1" applyAlignment="1">
      <alignment/>
    </xf>
    <xf numFmtId="0" fontId="9" fillId="3" borderId="5" xfId="0" applyFont="1" applyFill="1" applyBorder="1" applyAlignment="1">
      <alignment horizontal="right"/>
    </xf>
    <xf numFmtId="0" fontId="11" fillId="3" borderId="5" xfId="0" applyFont="1" applyFill="1" applyBorder="1" applyAlignment="1">
      <alignment horizontal="right"/>
    </xf>
    <xf numFmtId="0" fontId="11" fillId="3" borderId="6" xfId="0" applyFont="1" applyFill="1" applyBorder="1" applyAlignment="1">
      <alignment vertical="top"/>
    </xf>
    <xf numFmtId="0" fontId="11" fillId="3" borderId="7" xfId="0" applyFont="1" applyFill="1" applyBorder="1" applyAlignment="1">
      <alignment horizontal="right"/>
    </xf>
    <xf numFmtId="0" fontId="11" fillId="3" borderId="8" xfId="0" applyFont="1" applyFill="1" applyBorder="1" applyAlignment="1">
      <alignment horizontal="right"/>
    </xf>
    <xf numFmtId="0" fontId="9" fillId="3" borderId="9" xfId="0" applyFont="1" applyFill="1" applyBorder="1" applyAlignment="1">
      <alignment horizontal="right"/>
    </xf>
    <xf numFmtId="0" fontId="9" fillId="3" borderId="10" xfId="0" applyFont="1" applyFill="1" applyBorder="1" applyAlignment="1">
      <alignment horizontal="right"/>
    </xf>
    <xf numFmtId="0" fontId="9" fillId="3" borderId="11" xfId="0" applyFont="1" applyFill="1" applyBorder="1" applyAlignment="1">
      <alignment vertical="top"/>
    </xf>
    <xf numFmtId="0" fontId="11" fillId="3" borderId="12" xfId="0" applyFont="1" applyFill="1" applyBorder="1" applyAlignment="1">
      <alignment vertical="top"/>
    </xf>
    <xf numFmtId="0" fontId="9" fillId="3" borderId="13" xfId="0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11" fillId="3" borderId="6" xfId="0" applyFont="1" applyFill="1" applyBorder="1" applyAlignment="1">
      <alignment/>
    </xf>
    <xf numFmtId="0" fontId="9" fillId="3" borderId="14" xfId="0" applyFont="1" applyFill="1" applyBorder="1" applyAlignment="1">
      <alignment vertical="top"/>
    </xf>
    <xf numFmtId="0" fontId="11" fillId="3" borderId="11" xfId="0" applyFont="1" applyFill="1" applyBorder="1" applyAlignment="1">
      <alignment/>
    </xf>
    <xf numFmtId="0" fontId="11" fillId="3" borderId="15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11" fillId="3" borderId="11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/>
    </xf>
    <xf numFmtId="3" fontId="11" fillId="0" borderId="0" xfId="0" applyNumberFormat="1" applyFont="1" applyAlignment="1">
      <alignment/>
    </xf>
    <xf numFmtId="0" fontId="12" fillId="0" borderId="0" xfId="0" applyNumberFormat="1" applyFont="1" applyAlignment="1">
      <alignment wrapText="1"/>
    </xf>
    <xf numFmtId="3" fontId="13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1" fillId="3" borderId="0" xfId="0" applyFont="1" applyFill="1" applyBorder="1" applyAlignment="1">
      <alignment/>
    </xf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right"/>
    </xf>
    <xf numFmtId="0" fontId="9" fillId="0" borderId="1" xfId="0" applyFont="1" applyBorder="1" applyAlignment="1">
      <alignment horizontal="center" vertical="top"/>
    </xf>
    <xf numFmtId="0" fontId="11" fillId="3" borderId="0" xfId="0" applyFont="1" applyFill="1" applyBorder="1" applyAlignment="1">
      <alignment/>
    </xf>
    <xf numFmtId="0" fontId="9" fillId="3" borderId="4" xfId="0" applyFont="1" applyFill="1" applyBorder="1" applyAlignment="1">
      <alignment vertical="top"/>
    </xf>
    <xf numFmtId="0" fontId="9" fillId="3" borderId="4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/>
    </xf>
    <xf numFmtId="0" fontId="13" fillId="0" borderId="4" xfId="0" applyFont="1" applyBorder="1" applyAlignment="1">
      <alignment/>
    </xf>
    <xf numFmtId="3" fontId="13" fillId="0" borderId="4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16" fillId="0" borderId="1" xfId="0" applyFont="1" applyBorder="1" applyAlignment="1">
      <alignment horizontal="right" wrapText="1"/>
    </xf>
    <xf numFmtId="0" fontId="22" fillId="0" borderId="0" xfId="0" applyFont="1" applyBorder="1" applyAlignment="1">
      <alignment wrapText="1"/>
    </xf>
    <xf numFmtId="0" fontId="11" fillId="3" borderId="0" xfId="0" applyFont="1" applyFill="1" applyBorder="1" applyAlignment="1">
      <alignment vertical="top" wrapText="1"/>
    </xf>
    <xf numFmtId="0" fontId="13" fillId="3" borderId="0" xfId="0" applyFont="1" applyFill="1" applyBorder="1" applyAlignment="1">
      <alignment vertical="top" wrapText="1"/>
    </xf>
    <xf numFmtId="3" fontId="12" fillId="3" borderId="0" xfId="0" applyNumberFormat="1" applyFont="1" applyFill="1" applyBorder="1" applyAlignment="1">
      <alignment horizontal="right" vertical="top" wrapText="1"/>
    </xf>
    <xf numFmtId="3" fontId="13" fillId="3" borderId="0" xfId="0" applyNumberFormat="1" applyFont="1" applyFill="1" applyBorder="1" applyAlignment="1">
      <alignment horizontal="right" vertical="top" wrapText="1"/>
    </xf>
    <xf numFmtId="3" fontId="12" fillId="3" borderId="1" xfId="0" applyNumberFormat="1" applyFont="1" applyFill="1" applyBorder="1" applyAlignment="1">
      <alignment horizontal="right" vertical="top" wrapText="1"/>
    </xf>
    <xf numFmtId="0" fontId="9" fillId="3" borderId="0" xfId="0" applyFont="1" applyFill="1" applyBorder="1" applyAlignment="1">
      <alignment/>
    </xf>
    <xf numFmtId="3" fontId="9" fillId="3" borderId="0" xfId="0" applyNumberFormat="1" applyFont="1" applyFill="1" applyBorder="1" applyAlignment="1">
      <alignment horizontal="right"/>
    </xf>
    <xf numFmtId="0" fontId="12" fillId="3" borderId="1" xfId="0" applyFont="1" applyFill="1" applyBorder="1" applyAlignment="1">
      <alignment vertical="top"/>
    </xf>
    <xf numFmtId="0" fontId="12" fillId="3" borderId="1" xfId="0" applyFont="1" applyFill="1" applyBorder="1" applyAlignment="1">
      <alignment horizontal="right" vertical="top" wrapText="1"/>
    </xf>
    <xf numFmtId="3" fontId="11" fillId="0" borderId="0" xfId="15" applyNumberFormat="1" applyFont="1" applyAlignment="1">
      <alignment/>
    </xf>
    <xf numFmtId="3" fontId="9" fillId="0" borderId="0" xfId="15" applyNumberFormat="1" applyFont="1" applyAlignment="1">
      <alignment/>
    </xf>
    <xf numFmtId="168" fontId="10" fillId="0" borderId="0" xfId="15" applyNumberFormat="1" applyFont="1" applyAlignment="1">
      <alignment/>
    </xf>
    <xf numFmtId="168" fontId="9" fillId="0" borderId="0" xfId="15" applyNumberFormat="1" applyFont="1" applyAlignment="1">
      <alignment/>
    </xf>
    <xf numFmtId="168" fontId="12" fillId="0" borderId="0" xfId="15" applyNumberFormat="1" applyFont="1" applyAlignment="1">
      <alignment/>
    </xf>
    <xf numFmtId="168" fontId="10" fillId="0" borderId="4" xfId="15" applyNumberFormat="1" applyFont="1" applyBorder="1" applyAlignment="1">
      <alignment/>
    </xf>
    <xf numFmtId="168" fontId="13" fillId="0" borderId="4" xfId="15" applyNumberFormat="1" applyFont="1" applyBorder="1" applyAlignment="1">
      <alignment/>
    </xf>
    <xf numFmtId="168" fontId="11" fillId="0" borderId="0" xfId="15" applyNumberFormat="1" applyFont="1" applyAlignment="1">
      <alignment/>
    </xf>
    <xf numFmtId="168" fontId="13" fillId="0" borderId="0" xfId="15" applyNumberFormat="1" applyFont="1" applyAlignment="1">
      <alignment/>
    </xf>
    <xf numFmtId="3" fontId="12" fillId="0" borderId="0" xfId="15" applyNumberFormat="1" applyFont="1" applyAlignment="1">
      <alignment horizontal="right"/>
    </xf>
    <xf numFmtId="3" fontId="9" fillId="0" borderId="4" xfId="15" applyNumberFormat="1" applyFont="1" applyBorder="1" applyAlignment="1">
      <alignment horizontal="right"/>
    </xf>
    <xf numFmtId="3" fontId="10" fillId="0" borderId="0" xfId="15" applyNumberFormat="1" applyFont="1" applyAlignment="1">
      <alignment/>
    </xf>
    <xf numFmtId="3" fontId="9" fillId="0" borderId="4" xfId="0" applyNumberFormat="1" applyFont="1" applyBorder="1" applyAlignment="1">
      <alignment/>
    </xf>
    <xf numFmtId="3" fontId="9" fillId="0" borderId="4" xfId="15" applyNumberFormat="1" applyFont="1" applyBorder="1" applyAlignment="1">
      <alignment/>
    </xf>
    <xf numFmtId="43" fontId="9" fillId="0" borderId="4" xfId="15" applyFont="1" applyBorder="1" applyAlignment="1">
      <alignment/>
    </xf>
    <xf numFmtId="0" fontId="13" fillId="3" borderId="0" xfId="0" applyFont="1" applyFill="1" applyAlignment="1">
      <alignment vertical="top" wrapText="1"/>
    </xf>
    <xf numFmtId="0" fontId="17" fillId="3" borderId="0" xfId="0" applyFont="1" applyFill="1" applyBorder="1" applyAlignment="1">
      <alignment wrapText="1"/>
    </xf>
    <xf numFmtId="0" fontId="17" fillId="3" borderId="0" xfId="0" applyFont="1" applyFill="1" applyBorder="1" applyAlignment="1">
      <alignment horizontal="right"/>
    </xf>
    <xf numFmtId="3" fontId="17" fillId="3" borderId="0" xfId="0" applyNumberFormat="1" applyFont="1" applyFill="1" applyBorder="1" applyAlignment="1">
      <alignment horizontal="right"/>
    </xf>
    <xf numFmtId="0" fontId="23" fillId="3" borderId="0" xfId="0" applyFont="1" applyFill="1" applyAlignment="1">
      <alignment vertical="top" wrapText="1"/>
    </xf>
    <xf numFmtId="0" fontId="23" fillId="3" borderId="0" xfId="0" applyFont="1" applyFill="1" applyAlignment="1">
      <alignment horizontal="right" vertical="top" wrapText="1"/>
    </xf>
    <xf numFmtId="0" fontId="16" fillId="0" borderId="0" xfId="0" applyFont="1" applyAlignment="1">
      <alignment wrapText="1"/>
    </xf>
    <xf numFmtId="3" fontId="1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1" xfId="0" applyFont="1" applyBorder="1" applyAlignment="1">
      <alignment horizontal="right" vertical="top" wrapText="1"/>
    </xf>
    <xf numFmtId="0" fontId="0" fillId="0" borderId="0" xfId="0" applyFill="1" applyAlignment="1">
      <alignment/>
    </xf>
    <xf numFmtId="3" fontId="12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4" fontId="9" fillId="3" borderId="0" xfId="0" applyNumberFormat="1" applyFont="1" applyFill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6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F11" sqref="F11"/>
    </sheetView>
  </sheetViews>
  <sheetFormatPr defaultColWidth="9.140625" defaultRowHeight="12.75"/>
  <cols>
    <col min="1" max="1" width="46.28125" style="19" customWidth="1"/>
    <col min="2" max="2" width="9.140625" style="19" customWidth="1"/>
    <col min="3" max="3" width="11.57421875" style="19" customWidth="1"/>
    <col min="4" max="4" width="11.8515625" style="19" customWidth="1"/>
    <col min="5" max="5" width="10.140625" style="19" bestFit="1" customWidth="1"/>
    <col min="6" max="16384" width="9.140625" style="19" customWidth="1"/>
  </cols>
  <sheetData>
    <row r="1" ht="14.25">
      <c r="A1" s="29" t="s">
        <v>190</v>
      </c>
    </row>
    <row r="2" ht="15">
      <c r="A2" s="31" t="s">
        <v>191</v>
      </c>
    </row>
    <row r="3" spans="1:4" ht="15">
      <c r="A3" s="69"/>
      <c r="B3" s="112" t="s">
        <v>192</v>
      </c>
      <c r="C3" s="113">
        <v>39813</v>
      </c>
      <c r="D3" s="113">
        <v>39447</v>
      </c>
    </row>
    <row r="4" spans="1:4" ht="15">
      <c r="A4" s="73" t="s">
        <v>329</v>
      </c>
      <c r="B4" s="114"/>
      <c r="C4" s="69"/>
      <c r="D4" s="69"/>
    </row>
    <row r="5" spans="1:4" ht="15">
      <c r="A5" s="73" t="s">
        <v>193</v>
      </c>
      <c r="B5" s="114"/>
      <c r="C5" s="69"/>
      <c r="D5" s="69"/>
    </row>
    <row r="6" spans="1:4" ht="15">
      <c r="A6" s="71" t="s">
        <v>322</v>
      </c>
      <c r="B6" s="114">
        <v>2</v>
      </c>
      <c r="C6" s="22">
        <v>920000</v>
      </c>
      <c r="D6" s="22">
        <v>870000</v>
      </c>
    </row>
    <row r="7" spans="1:4" ht="15">
      <c r="A7" s="71" t="s">
        <v>323</v>
      </c>
      <c r="B7" s="107">
        <v>3</v>
      </c>
      <c r="C7" s="22">
        <v>116500</v>
      </c>
      <c r="D7" s="22">
        <v>52000</v>
      </c>
    </row>
    <row r="8" spans="1:4" ht="15">
      <c r="A8" s="71" t="s">
        <v>327</v>
      </c>
      <c r="B8" s="114">
        <v>4</v>
      </c>
      <c r="C8" s="22">
        <v>670000</v>
      </c>
      <c r="D8" s="22">
        <v>604500</v>
      </c>
    </row>
    <row r="9" spans="1:4" ht="15">
      <c r="A9" s="71" t="s">
        <v>33</v>
      </c>
      <c r="B9" s="114">
        <v>6</v>
      </c>
      <c r="C9" s="22">
        <v>1007600</v>
      </c>
      <c r="D9" s="22">
        <v>990700</v>
      </c>
    </row>
    <row r="10" spans="1:4" ht="15">
      <c r="A10" s="71" t="s">
        <v>328</v>
      </c>
      <c r="B10" s="114"/>
      <c r="C10" s="22">
        <v>500000</v>
      </c>
      <c r="D10" s="22">
        <v>1081700</v>
      </c>
    </row>
    <row r="11" spans="1:4" ht="15">
      <c r="A11" s="73" t="s">
        <v>194</v>
      </c>
      <c r="B11" s="114"/>
      <c r="C11" s="50">
        <f>SUM(C6:C10)</f>
        <v>3214100</v>
      </c>
      <c r="D11" s="50">
        <f>SUM(D6:D10)</f>
        <v>3598900</v>
      </c>
    </row>
    <row r="12" spans="1:4" ht="15">
      <c r="A12" s="73" t="s">
        <v>195</v>
      </c>
      <c r="B12" s="114"/>
      <c r="C12" s="69"/>
      <c r="D12" s="69"/>
    </row>
    <row r="13" spans="1:4" ht="15">
      <c r="A13" s="71" t="s">
        <v>40</v>
      </c>
      <c r="B13" s="114">
        <v>7</v>
      </c>
      <c r="C13" s="22">
        <f>355000+150000</f>
        <v>505000</v>
      </c>
      <c r="D13" s="22">
        <f>323800+309200</f>
        <v>633000</v>
      </c>
    </row>
    <row r="14" spans="1:4" ht="15">
      <c r="A14" s="71" t="s">
        <v>86</v>
      </c>
      <c r="B14" s="107">
        <v>10</v>
      </c>
      <c r="C14" s="22">
        <v>900000</v>
      </c>
      <c r="D14" s="22">
        <v>600000</v>
      </c>
    </row>
    <row r="15" spans="1:4" ht="15">
      <c r="A15" s="71" t="s">
        <v>93</v>
      </c>
      <c r="B15" s="114">
        <v>11</v>
      </c>
      <c r="C15" s="22">
        <v>1427500</v>
      </c>
      <c r="D15" s="22">
        <v>1330000</v>
      </c>
    </row>
    <row r="16" spans="1:4" ht="15">
      <c r="A16" s="71" t="s">
        <v>102</v>
      </c>
      <c r="B16" s="114">
        <v>12</v>
      </c>
      <c r="C16" s="22">
        <v>94000</v>
      </c>
      <c r="D16" s="22">
        <v>150000</v>
      </c>
    </row>
    <row r="17" spans="1:4" ht="15">
      <c r="A17" s="73" t="s">
        <v>196</v>
      </c>
      <c r="B17" s="114"/>
      <c r="C17" s="55">
        <f>SUM(C13:C16)</f>
        <v>2926500</v>
      </c>
      <c r="D17" s="55">
        <f>SUM(D13:D16)</f>
        <v>2713000</v>
      </c>
    </row>
    <row r="18" spans="1:4" ht="15">
      <c r="A18" s="73" t="s">
        <v>330</v>
      </c>
      <c r="B18" s="114"/>
      <c r="C18" s="55">
        <f>C11+C17</f>
        <v>6140600</v>
      </c>
      <c r="D18" s="55">
        <f>D11+D17</f>
        <v>6311900</v>
      </c>
    </row>
    <row r="19" spans="1:4" ht="15">
      <c r="A19" s="31"/>
      <c r="B19" s="114"/>
      <c r="C19" s="31"/>
      <c r="D19" s="31"/>
    </row>
    <row r="20" spans="1:4" ht="15">
      <c r="A20" s="73" t="s">
        <v>331</v>
      </c>
      <c r="B20" s="114"/>
      <c r="C20" s="69"/>
      <c r="D20" s="69"/>
    </row>
    <row r="21" spans="1:4" ht="15">
      <c r="A21" s="73" t="s">
        <v>197</v>
      </c>
      <c r="B21" s="114"/>
      <c r="C21" s="69"/>
      <c r="D21" s="69"/>
    </row>
    <row r="22" spans="1:4" ht="15">
      <c r="A22" s="71" t="s">
        <v>325</v>
      </c>
      <c r="B22" s="114">
        <v>15</v>
      </c>
      <c r="C22" s="22">
        <v>267000</v>
      </c>
      <c r="D22" s="22">
        <v>204000</v>
      </c>
    </row>
    <row r="23" spans="1:4" ht="15">
      <c r="A23" s="71" t="s">
        <v>332</v>
      </c>
      <c r="B23" s="114">
        <v>16</v>
      </c>
      <c r="C23" s="22">
        <v>1510600</v>
      </c>
      <c r="D23" s="22">
        <v>2115700</v>
      </c>
    </row>
    <row r="24" spans="1:4" ht="15">
      <c r="A24" s="71" t="s">
        <v>198</v>
      </c>
      <c r="B24" s="107">
        <v>18</v>
      </c>
      <c r="C24" s="22">
        <v>120000</v>
      </c>
      <c r="D24" s="22">
        <v>150000</v>
      </c>
    </row>
    <row r="25" spans="1:4" ht="15">
      <c r="A25" s="73" t="s">
        <v>177</v>
      </c>
      <c r="B25" s="114"/>
      <c r="C25" s="50">
        <f>SUM(C22:C24)</f>
        <v>1897600</v>
      </c>
      <c r="D25" s="50">
        <f>SUM(D22:D24)</f>
        <v>2469700</v>
      </c>
    </row>
    <row r="26" spans="1:4" ht="15">
      <c r="A26" s="73" t="s">
        <v>199</v>
      </c>
      <c r="B26" s="114"/>
      <c r="C26" s="69"/>
      <c r="D26" s="69"/>
    </row>
    <row r="27" spans="1:4" ht="15">
      <c r="A27" s="71" t="s">
        <v>326</v>
      </c>
      <c r="B27" s="114">
        <v>15</v>
      </c>
      <c r="C27" s="48">
        <v>434000</v>
      </c>
      <c r="D27" s="48">
        <v>515000</v>
      </c>
    </row>
    <row r="28" spans="1:4" ht="15">
      <c r="A28" s="71" t="s">
        <v>200</v>
      </c>
      <c r="B28" s="114">
        <v>17</v>
      </c>
      <c r="C28" s="48">
        <f>39000-5000</f>
        <v>34000</v>
      </c>
      <c r="D28" s="22">
        <v>23000</v>
      </c>
    </row>
    <row r="29" spans="1:4" ht="15">
      <c r="A29" s="71" t="s">
        <v>391</v>
      </c>
      <c r="B29" s="114">
        <v>18</v>
      </c>
      <c r="C29" s="48">
        <v>5000</v>
      </c>
      <c r="D29" s="22">
        <v>20000</v>
      </c>
    </row>
    <row r="30" spans="1:4" ht="15">
      <c r="A30" s="73" t="s">
        <v>178</v>
      </c>
      <c r="B30" s="114"/>
      <c r="C30" s="55">
        <f>SUM(C27:C29)</f>
        <v>473000</v>
      </c>
      <c r="D30" s="55">
        <f>SUM(D27:D29)</f>
        <v>558000</v>
      </c>
    </row>
    <row r="31" spans="1:4" ht="15">
      <c r="A31" s="73" t="s">
        <v>201</v>
      </c>
      <c r="B31" s="114"/>
      <c r="C31" s="55">
        <f>C25+C30</f>
        <v>2370600</v>
      </c>
      <c r="D31" s="55">
        <f>D25+D30</f>
        <v>3027700</v>
      </c>
    </row>
    <row r="32" spans="1:4" ht="15">
      <c r="A32" s="73" t="s">
        <v>338</v>
      </c>
      <c r="B32" s="114"/>
      <c r="C32" s="69"/>
      <c r="D32" s="69"/>
    </row>
    <row r="33" spans="1:4" ht="15">
      <c r="A33" s="71" t="s">
        <v>333</v>
      </c>
      <c r="B33" s="114"/>
      <c r="C33" s="69"/>
      <c r="D33" s="69"/>
    </row>
    <row r="34" spans="1:4" ht="15">
      <c r="A34" s="73" t="s">
        <v>334</v>
      </c>
      <c r="B34" s="114"/>
      <c r="C34" s="69"/>
      <c r="D34" s="69"/>
    </row>
    <row r="35" spans="1:4" ht="15">
      <c r="A35" s="71" t="s">
        <v>202</v>
      </c>
      <c r="B35" s="107">
        <v>19</v>
      </c>
      <c r="C35" s="22">
        <v>754000</v>
      </c>
      <c r="D35" s="22">
        <v>600000</v>
      </c>
    </row>
    <row r="36" spans="1:4" ht="15">
      <c r="A36" s="71" t="s">
        <v>203</v>
      </c>
      <c r="B36" s="107">
        <v>19</v>
      </c>
      <c r="C36" s="22">
        <v>150000</v>
      </c>
      <c r="D36" s="22">
        <v>100000</v>
      </c>
    </row>
    <row r="37" spans="1:4" ht="15">
      <c r="A37" s="71" t="s">
        <v>204</v>
      </c>
      <c r="B37" s="107">
        <v>19</v>
      </c>
      <c r="C37" s="22">
        <v>-90000</v>
      </c>
      <c r="D37" s="72">
        <v>0</v>
      </c>
    </row>
    <row r="38" spans="1:4" ht="15">
      <c r="A38" s="71" t="s">
        <v>205</v>
      </c>
      <c r="B38" s="114"/>
      <c r="C38" s="22">
        <v>60000</v>
      </c>
      <c r="D38" s="22">
        <v>60000</v>
      </c>
    </row>
    <row r="39" spans="1:4" ht="15">
      <c r="A39" s="71" t="s">
        <v>335</v>
      </c>
      <c r="B39" s="114"/>
      <c r="C39" s="22">
        <f>3440500-1145000+5000+150000+10000</f>
        <v>2460500</v>
      </c>
      <c r="D39" s="22">
        <f>2796000-1515000+800+309200+7500</f>
        <v>1598500</v>
      </c>
    </row>
    <row r="40" spans="1:4" ht="15">
      <c r="A40" s="71" t="s">
        <v>206</v>
      </c>
      <c r="B40" s="114"/>
      <c r="C40" s="22">
        <v>435500</v>
      </c>
      <c r="D40" s="22">
        <v>925700</v>
      </c>
    </row>
    <row r="41" spans="1:4" ht="15">
      <c r="A41" s="73" t="s">
        <v>207</v>
      </c>
      <c r="B41" s="114"/>
      <c r="C41" s="55">
        <f>SUM(C35:C40)</f>
        <v>3770000</v>
      </c>
      <c r="D41" s="55">
        <f>SUM(D35:D40)</f>
        <v>3284200</v>
      </c>
    </row>
    <row r="42" spans="1:4" ht="15">
      <c r="A42" s="73" t="s">
        <v>336</v>
      </c>
      <c r="B42" s="114"/>
      <c r="C42" s="55">
        <f>C31+C41</f>
        <v>6140600</v>
      </c>
      <c r="D42" s="55">
        <f>D31+D41</f>
        <v>6311900</v>
      </c>
    </row>
    <row r="44" spans="3:4" ht="14.25">
      <c r="C44" s="103">
        <f>C18-C42</f>
        <v>0</v>
      </c>
      <c r="D44" s="103">
        <f>D18-D42</f>
        <v>0</v>
      </c>
    </row>
    <row r="45" spans="3:4" ht="14.25">
      <c r="C45" s="103">
        <f>C40-KA1!D35</f>
        <v>0</v>
      </c>
      <c r="D45" s="103">
        <f>D40-KA1!E35</f>
        <v>0</v>
      </c>
    </row>
    <row r="48" ht="15">
      <c r="A48" s="31" t="s">
        <v>337</v>
      </c>
    </row>
  </sheetData>
  <printOptions/>
  <pageMargins left="0.75" right="0.75" top="0.86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17" sqref="C17"/>
    </sheetView>
  </sheetViews>
  <sheetFormatPr defaultColWidth="9.140625" defaultRowHeight="12.75"/>
  <cols>
    <col min="1" max="1" width="30.140625" style="19" customWidth="1"/>
    <col min="2" max="3" width="11.28125" style="19" bestFit="1" customWidth="1"/>
    <col min="4" max="16384" width="9.140625" style="19" customWidth="1"/>
  </cols>
  <sheetData>
    <row r="1" ht="14.25">
      <c r="A1" s="29"/>
    </row>
    <row r="2" spans="1:2" ht="14.25">
      <c r="A2" s="29" t="s">
        <v>32</v>
      </c>
      <c r="B2" s="29" t="s">
        <v>33</v>
      </c>
    </row>
    <row r="3" ht="15">
      <c r="A3" s="31"/>
    </row>
    <row r="4" spans="1:3" ht="15">
      <c r="A4" s="32"/>
      <c r="B4" s="33">
        <v>39813</v>
      </c>
      <c r="C4" s="33">
        <v>39447</v>
      </c>
    </row>
    <row r="5" spans="1:3" ht="15">
      <c r="A5" s="39" t="s">
        <v>34</v>
      </c>
      <c r="B5" s="35">
        <v>200000</v>
      </c>
      <c r="C5" s="35">
        <v>250000</v>
      </c>
    </row>
    <row r="6" spans="1:6" ht="15">
      <c r="A6" s="39" t="s">
        <v>35</v>
      </c>
      <c r="B6" s="35">
        <v>402500</v>
      </c>
      <c r="C6" s="35">
        <f>402200-91000</f>
        <v>311200</v>
      </c>
      <c r="E6" s="103">
        <f>B6+B7-C6-C7</f>
        <v>49900</v>
      </c>
      <c r="F6" s="19" t="s">
        <v>321</v>
      </c>
    </row>
    <row r="7" spans="1:3" ht="15">
      <c r="A7" s="39" t="s">
        <v>36</v>
      </c>
      <c r="B7" s="35">
        <f>410000-69900</f>
        <v>340100</v>
      </c>
      <c r="C7" s="35">
        <v>381500</v>
      </c>
    </row>
    <row r="8" spans="1:3" ht="15">
      <c r="A8" s="39" t="s">
        <v>367</v>
      </c>
      <c r="B8" s="35">
        <v>25000</v>
      </c>
      <c r="C8" s="35">
        <v>30000</v>
      </c>
    </row>
    <row r="9" spans="1:3" ht="15">
      <c r="A9" s="39" t="s">
        <v>368</v>
      </c>
      <c r="B9" s="160">
        <v>40000</v>
      </c>
      <c r="C9" s="160">
        <v>18000</v>
      </c>
    </row>
    <row r="10" spans="1:3" ht="14.25">
      <c r="A10" s="161" t="s">
        <v>37</v>
      </c>
      <c r="B10" s="162">
        <f>SUM(B5:B9)</f>
        <v>1007600</v>
      </c>
      <c r="C10" s="162">
        <f>SUM(C5:C9)</f>
        <v>990700</v>
      </c>
    </row>
    <row r="13" ht="15">
      <c r="A13" s="31" t="s">
        <v>369</v>
      </c>
    </row>
    <row r="14" ht="15">
      <c r="A14" s="31" t="s">
        <v>370</v>
      </c>
    </row>
    <row r="15" ht="14.25">
      <c r="A15" s="46"/>
    </row>
    <row r="16" spans="1:3" ht="15">
      <c r="A16" s="31"/>
      <c r="B16" s="47">
        <v>2008</v>
      </c>
      <c r="C16" s="47">
        <v>2007</v>
      </c>
    </row>
    <row r="17" spans="1:3" ht="15">
      <c r="A17" s="31" t="s">
        <v>34</v>
      </c>
      <c r="B17" s="48">
        <v>56000</v>
      </c>
      <c r="C17" s="48">
        <v>43500</v>
      </c>
    </row>
    <row r="18" spans="1:3" ht="15">
      <c r="A18" s="31" t="s">
        <v>36</v>
      </c>
      <c r="B18" s="48">
        <v>7500</v>
      </c>
      <c r="C18" s="48">
        <v>3500</v>
      </c>
    </row>
    <row r="19" spans="1:3" ht="14.25">
      <c r="A19" s="46" t="s">
        <v>38</v>
      </c>
      <c r="B19" s="50">
        <f>SUM(B17:B18)</f>
        <v>63500</v>
      </c>
      <c r="C19" s="50">
        <f>SUM(C17:C18)</f>
        <v>47000</v>
      </c>
    </row>
    <row r="21" ht="15">
      <c r="A21" s="31"/>
    </row>
    <row r="22" ht="15">
      <c r="A22" s="31"/>
    </row>
    <row r="23" ht="15">
      <c r="A23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17" sqref="B17"/>
    </sheetView>
  </sheetViews>
  <sheetFormatPr defaultColWidth="9.140625" defaultRowHeight="12.75"/>
  <cols>
    <col min="1" max="1" width="40.7109375" style="19" customWidth="1"/>
    <col min="2" max="2" width="15.28125" style="19" customWidth="1"/>
    <col min="3" max="3" width="19.57421875" style="19" customWidth="1"/>
    <col min="4" max="16384" width="9.140625" style="19" customWidth="1"/>
  </cols>
  <sheetData>
    <row r="1" spans="1:3" ht="14.25">
      <c r="A1" s="29" t="s">
        <v>39</v>
      </c>
      <c r="B1" s="204" t="s">
        <v>40</v>
      </c>
      <c r="C1" s="204"/>
    </row>
    <row r="2" ht="15">
      <c r="A2" s="31"/>
    </row>
    <row r="3" spans="1:3" ht="15">
      <c r="A3" s="51"/>
      <c r="B3" s="13">
        <v>39813</v>
      </c>
      <c r="C3" s="13">
        <v>39447</v>
      </c>
    </row>
    <row r="4" spans="1:3" ht="15">
      <c r="A4" s="52" t="s">
        <v>180</v>
      </c>
      <c r="B4" s="22">
        <v>130000</v>
      </c>
      <c r="C4" s="22">
        <v>136000</v>
      </c>
    </row>
    <row r="5" spans="1:3" ht="15">
      <c r="A5" s="52" t="s">
        <v>371</v>
      </c>
      <c r="B5" s="22">
        <v>20000</v>
      </c>
      <c r="C5" s="22">
        <v>13800</v>
      </c>
    </row>
    <row r="6" spans="1:3" ht="15">
      <c r="A6" s="52" t="s">
        <v>181</v>
      </c>
      <c r="B6" s="53">
        <f>205000+150000</f>
        <v>355000</v>
      </c>
      <c r="C6" s="53">
        <f>174000+309200</f>
        <v>483200</v>
      </c>
    </row>
    <row r="7" spans="1:3" ht="14.25">
      <c r="A7" s="54" t="s">
        <v>41</v>
      </c>
      <c r="B7" s="55">
        <f>SUM(B4:B6)</f>
        <v>505000</v>
      </c>
      <c r="C7" s="55">
        <f>SUM(C4:C6)</f>
        <v>633000</v>
      </c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workbookViewId="0" topLeftCell="A1">
      <selection activeCell="A37" sqref="A37"/>
    </sheetView>
  </sheetViews>
  <sheetFormatPr defaultColWidth="9.140625" defaultRowHeight="12.75" outlineLevelRow="1"/>
  <cols>
    <col min="1" max="1" width="51.7109375" style="19" bestFit="1" customWidth="1"/>
    <col min="2" max="3" width="14.57421875" style="19" customWidth="1"/>
    <col min="4" max="4" width="11.28125" style="19" customWidth="1"/>
    <col min="5" max="5" width="10.00390625" style="19" customWidth="1"/>
    <col min="6" max="16384" width="9.140625" style="19" customWidth="1"/>
  </cols>
  <sheetData>
    <row r="1" spans="1:3" ht="14.25">
      <c r="A1" s="29" t="s">
        <v>42</v>
      </c>
      <c r="B1" s="204" t="s">
        <v>43</v>
      </c>
      <c r="C1" s="204"/>
    </row>
    <row r="2" ht="15">
      <c r="A2" s="31"/>
    </row>
    <row r="3" ht="15">
      <c r="A3" s="31" t="s">
        <v>416</v>
      </c>
    </row>
    <row r="4" ht="15" hidden="1" outlineLevel="1">
      <c r="A4" s="31"/>
    </row>
    <row r="5" spans="1:5" ht="15" hidden="1" outlineLevel="1">
      <c r="A5" s="56"/>
      <c r="B5" s="133" t="s">
        <v>314</v>
      </c>
      <c r="C5" s="134" t="s">
        <v>315</v>
      </c>
      <c r="D5" s="133" t="s">
        <v>316</v>
      </c>
      <c r="E5" s="57" t="s">
        <v>44</v>
      </c>
    </row>
    <row r="6" spans="1:5" ht="15" hidden="1" outlineLevel="1">
      <c r="A6" s="52" t="s">
        <v>45</v>
      </c>
      <c r="B6" s="58" t="s">
        <v>46</v>
      </c>
      <c r="C6" s="58" t="s">
        <v>47</v>
      </c>
      <c r="D6" s="58" t="s">
        <v>48</v>
      </c>
      <c r="E6" s="56"/>
    </row>
    <row r="7" spans="1:5" ht="14.25" hidden="1" outlineLevel="1">
      <c r="A7" s="207" t="s">
        <v>49</v>
      </c>
      <c r="B7" s="207" t="s">
        <v>50</v>
      </c>
      <c r="C7" s="207" t="s">
        <v>51</v>
      </c>
      <c r="D7" s="207" t="s">
        <v>52</v>
      </c>
      <c r="E7" s="206"/>
    </row>
    <row r="8" spans="1:5" ht="14.25" hidden="1" outlineLevel="1">
      <c r="A8" s="207"/>
      <c r="B8" s="207"/>
      <c r="C8" s="207"/>
      <c r="D8" s="207"/>
      <c r="E8" s="206"/>
    </row>
    <row r="9" spans="1:5" ht="15" hidden="1" outlineLevel="1">
      <c r="A9" s="54" t="s">
        <v>53</v>
      </c>
      <c r="B9" s="59">
        <v>100</v>
      </c>
      <c r="C9" s="59">
        <v>100</v>
      </c>
      <c r="D9" s="59" t="s">
        <v>54</v>
      </c>
      <c r="E9" s="56"/>
    </row>
    <row r="10" spans="1:5" ht="28.5" hidden="1" outlineLevel="1">
      <c r="A10" s="54" t="s">
        <v>55</v>
      </c>
      <c r="B10" s="60">
        <v>300000</v>
      </c>
      <c r="C10" s="60">
        <v>843300</v>
      </c>
      <c r="D10" s="59">
        <v>0</v>
      </c>
      <c r="E10" s="61">
        <f>SUM(B10:D10)</f>
        <v>1143300</v>
      </c>
    </row>
    <row r="11" spans="1:5" ht="15" hidden="1" outlineLevel="1">
      <c r="A11" s="52" t="s">
        <v>56</v>
      </c>
      <c r="B11" s="62">
        <v>0</v>
      </c>
      <c r="C11" s="63">
        <v>146700</v>
      </c>
      <c r="D11" s="62">
        <v>0</v>
      </c>
      <c r="E11" s="64">
        <f>SUM(B11:D11)</f>
        <v>146700</v>
      </c>
    </row>
    <row r="12" spans="1:5" ht="14.25" hidden="1" outlineLevel="1">
      <c r="A12" s="54" t="s">
        <v>57</v>
      </c>
      <c r="B12" s="60">
        <f>B10+B11</f>
        <v>300000</v>
      </c>
      <c r="C12" s="60">
        <f>C10+C11</f>
        <v>990000</v>
      </c>
      <c r="D12" s="60">
        <f>D10+D11</f>
        <v>0</v>
      </c>
      <c r="E12" s="61">
        <f>SUM(B12:D12)</f>
        <v>1290000</v>
      </c>
    </row>
    <row r="13" spans="1:5" ht="15" hidden="1" outlineLevel="1">
      <c r="A13" s="51"/>
      <c r="B13" s="56"/>
      <c r="C13" s="56"/>
      <c r="D13" s="56"/>
      <c r="E13" s="56"/>
    </row>
    <row r="14" spans="1:5" ht="15" hidden="1" outlineLevel="1">
      <c r="A14" s="54" t="s">
        <v>58</v>
      </c>
      <c r="B14" s="56"/>
      <c r="C14" s="56"/>
      <c r="D14" s="56"/>
      <c r="E14" s="56"/>
    </row>
    <row r="15" spans="1:5" ht="15" hidden="1" outlineLevel="1">
      <c r="A15" s="52" t="s">
        <v>59</v>
      </c>
      <c r="B15" s="58" t="s">
        <v>54</v>
      </c>
      <c r="C15" s="58" t="s">
        <v>54</v>
      </c>
      <c r="D15" s="58">
        <v>100</v>
      </c>
      <c r="E15" s="56"/>
    </row>
    <row r="16" spans="1:5" ht="15" hidden="1" outlineLevel="1">
      <c r="A16" s="52" t="s">
        <v>60</v>
      </c>
      <c r="B16" s="58">
        <v>0</v>
      </c>
      <c r="C16" s="58">
        <v>0</v>
      </c>
      <c r="D16" s="65">
        <v>350000</v>
      </c>
      <c r="E16" s="60">
        <f>SUM(B16:D16)</f>
        <v>350000</v>
      </c>
    </row>
    <row r="17" spans="1:5" ht="15" hidden="1" outlineLevel="1">
      <c r="A17" s="52" t="s">
        <v>61</v>
      </c>
      <c r="B17" s="58">
        <v>0</v>
      </c>
      <c r="C17" s="58">
        <v>0</v>
      </c>
      <c r="D17" s="65">
        <v>300000</v>
      </c>
      <c r="E17" s="60">
        <f aca="true" t="shared" si="0" ref="E17:E22">SUM(B17:D17)</f>
        <v>300000</v>
      </c>
    </row>
    <row r="18" spans="1:5" ht="15" hidden="1" outlineLevel="1">
      <c r="A18" s="52" t="s">
        <v>62</v>
      </c>
      <c r="B18" s="58">
        <f>B16-B17</f>
        <v>0</v>
      </c>
      <c r="C18" s="58">
        <f>C16-C17</f>
        <v>0</v>
      </c>
      <c r="D18" s="58">
        <f>D16-D17</f>
        <v>50000</v>
      </c>
      <c r="E18" s="60">
        <f t="shared" si="0"/>
        <v>50000</v>
      </c>
    </row>
    <row r="19" spans="1:5" ht="15" hidden="1" outlineLevel="1">
      <c r="A19" s="51"/>
      <c r="B19" s="51"/>
      <c r="C19" s="51"/>
      <c r="D19" s="56"/>
      <c r="E19" s="60" t="s">
        <v>179</v>
      </c>
    </row>
    <row r="20" spans="1:5" ht="15" hidden="1" outlineLevel="1">
      <c r="A20" s="52" t="s">
        <v>63</v>
      </c>
      <c r="B20" s="58">
        <v>0</v>
      </c>
      <c r="C20" s="65">
        <v>371000</v>
      </c>
      <c r="D20" s="65">
        <v>-20000</v>
      </c>
      <c r="E20" s="60">
        <f t="shared" si="0"/>
        <v>351000</v>
      </c>
    </row>
    <row r="21" spans="1:5" ht="30" hidden="1" outlineLevel="1">
      <c r="A21" s="52" t="s">
        <v>64</v>
      </c>
      <c r="B21" s="58">
        <v>0</v>
      </c>
      <c r="C21" s="58">
        <v>0</v>
      </c>
      <c r="D21" s="65">
        <v>5000</v>
      </c>
      <c r="E21" s="60">
        <f t="shared" si="0"/>
        <v>5000</v>
      </c>
    </row>
    <row r="22" spans="1:5" ht="15" hidden="1" outlineLevel="1">
      <c r="A22" s="52" t="s">
        <v>65</v>
      </c>
      <c r="B22" s="65">
        <v>0</v>
      </c>
      <c r="C22" s="65">
        <v>-50000</v>
      </c>
      <c r="D22" s="58">
        <v>0</v>
      </c>
      <c r="E22" s="60">
        <f t="shared" si="0"/>
        <v>-50000</v>
      </c>
    </row>
    <row r="23" spans="1:5" ht="15" hidden="1" outlineLevel="1">
      <c r="A23" s="51"/>
      <c r="B23" s="51"/>
      <c r="C23" s="51"/>
      <c r="D23" s="56"/>
      <c r="E23" s="56"/>
    </row>
    <row r="24" spans="1:5" ht="15" hidden="1" outlineLevel="1">
      <c r="A24" s="54" t="s">
        <v>66</v>
      </c>
      <c r="B24" s="51"/>
      <c r="C24" s="51"/>
      <c r="D24" s="56"/>
      <c r="E24" s="56"/>
    </row>
    <row r="25" spans="1:5" ht="15" hidden="1" outlineLevel="1">
      <c r="A25" s="52" t="s">
        <v>67</v>
      </c>
      <c r="B25" s="58">
        <v>100</v>
      </c>
      <c r="C25" s="58" t="s">
        <v>54</v>
      </c>
      <c r="D25" s="58" t="s">
        <v>54</v>
      </c>
      <c r="E25" s="56"/>
    </row>
    <row r="26" spans="1:5" ht="15" hidden="1" outlineLevel="1">
      <c r="A26" s="52" t="s">
        <v>68</v>
      </c>
      <c r="B26" s="65">
        <v>400000</v>
      </c>
      <c r="C26" s="65">
        <v>0</v>
      </c>
      <c r="D26" s="58">
        <v>0</v>
      </c>
      <c r="E26" s="60">
        <f>SUM(B26:D26)</f>
        <v>400000</v>
      </c>
    </row>
    <row r="27" spans="1:5" ht="15" hidden="1" outlineLevel="1">
      <c r="A27" s="52" t="s">
        <v>69</v>
      </c>
      <c r="B27" s="65">
        <f>B26-B12</f>
        <v>100000</v>
      </c>
      <c r="C27" s="65">
        <v>0</v>
      </c>
      <c r="D27" s="58">
        <v>0</v>
      </c>
      <c r="E27" s="60">
        <f>SUM(B27:D27)</f>
        <v>100000</v>
      </c>
    </row>
    <row r="28" spans="1:5" ht="15" hidden="1" outlineLevel="1">
      <c r="A28" s="51"/>
      <c r="B28" s="51"/>
      <c r="C28" s="51"/>
      <c r="D28" s="51"/>
      <c r="E28" s="51"/>
    </row>
    <row r="29" spans="1:5" ht="15" hidden="1" outlineLevel="1">
      <c r="A29" s="54" t="s">
        <v>70</v>
      </c>
      <c r="B29" s="59">
        <v>0</v>
      </c>
      <c r="C29" s="59">
        <v>100</v>
      </c>
      <c r="D29" s="59">
        <v>100</v>
      </c>
      <c r="E29" s="56"/>
    </row>
    <row r="30" spans="1:5" ht="28.5" hidden="1" outlineLevel="1">
      <c r="A30" s="54" t="s">
        <v>71</v>
      </c>
      <c r="B30" s="59">
        <v>0</v>
      </c>
      <c r="C30" s="59">
        <v>0</v>
      </c>
      <c r="D30" s="60">
        <v>10512</v>
      </c>
      <c r="E30" s="60">
        <f>SUM(B30:D30)</f>
        <v>10512</v>
      </c>
    </row>
    <row r="31" spans="1:5" ht="15" hidden="1" outlineLevel="1">
      <c r="A31" s="51" t="s">
        <v>56</v>
      </c>
      <c r="B31" s="56">
        <v>0</v>
      </c>
      <c r="C31" s="56">
        <v>0</v>
      </c>
      <c r="D31" s="66">
        <v>47500</v>
      </c>
      <c r="E31" s="60">
        <f>SUM(B31:D31)</f>
        <v>47500</v>
      </c>
    </row>
    <row r="32" spans="1:5" ht="15" hidden="1" outlineLevel="1">
      <c r="A32" s="51" t="s">
        <v>72</v>
      </c>
      <c r="B32" s="67">
        <v>0</v>
      </c>
      <c r="C32" s="67">
        <v>0</v>
      </c>
      <c r="D32" s="67">
        <v>5000</v>
      </c>
      <c r="E32" s="68">
        <f>SUM(B32:D32)</f>
        <v>5000</v>
      </c>
    </row>
    <row r="33" spans="1:5" ht="14.25" hidden="1" outlineLevel="1">
      <c r="A33" s="54" t="s">
        <v>73</v>
      </c>
      <c r="B33" s="60">
        <f>B12+B17+B20+B21+B22-B26+B27</f>
        <v>0</v>
      </c>
      <c r="C33" s="60">
        <f>C12+C17+C20+C21+C22-C26+C27</f>
        <v>1311000</v>
      </c>
      <c r="D33" s="60">
        <f>D12+D17+D20+D21+D22-D26+D27</f>
        <v>285000</v>
      </c>
      <c r="E33" s="60">
        <f>SUM(B33:D33)</f>
        <v>1596000</v>
      </c>
    </row>
    <row r="34" ht="14.25" collapsed="1"/>
    <row r="36" ht="15">
      <c r="A36" s="31" t="s">
        <v>417</v>
      </c>
    </row>
    <row r="37" spans="1:4" ht="27.75" customHeight="1">
      <c r="A37" s="69"/>
      <c r="B37" s="108" t="s">
        <v>74</v>
      </c>
      <c r="C37" s="108" t="s">
        <v>75</v>
      </c>
      <c r="D37" s="70" t="s">
        <v>44</v>
      </c>
    </row>
    <row r="38" spans="1:4" ht="15">
      <c r="A38" s="71" t="s">
        <v>45</v>
      </c>
      <c r="B38" s="107" t="s">
        <v>46</v>
      </c>
      <c r="C38" s="107" t="s">
        <v>47</v>
      </c>
      <c r="D38" s="69"/>
    </row>
    <row r="39" spans="1:4" ht="45">
      <c r="A39" s="71" t="s">
        <v>49</v>
      </c>
      <c r="B39" s="52" t="s">
        <v>289</v>
      </c>
      <c r="C39" s="52" t="s">
        <v>290</v>
      </c>
      <c r="D39" s="69"/>
    </row>
    <row r="40" spans="1:4" ht="15">
      <c r="A40" s="73" t="s">
        <v>53</v>
      </c>
      <c r="B40" s="74">
        <v>30</v>
      </c>
      <c r="C40" s="74">
        <v>20</v>
      </c>
      <c r="D40" s="69"/>
    </row>
    <row r="41" spans="1:4" ht="14.25">
      <c r="A41" s="73" t="s">
        <v>55</v>
      </c>
      <c r="B41" s="55">
        <v>24000</v>
      </c>
      <c r="C41" s="55">
        <v>112000</v>
      </c>
      <c r="D41" s="50">
        <f>SUM(B41:C41)</f>
        <v>136000</v>
      </c>
    </row>
    <row r="42" spans="1:4" ht="15" hidden="1">
      <c r="A42" s="71" t="s">
        <v>56</v>
      </c>
      <c r="B42" s="75">
        <v>0</v>
      </c>
      <c r="C42" s="53">
        <v>0</v>
      </c>
      <c r="D42" s="76">
        <f>SUM(B42:C42)</f>
        <v>0</v>
      </c>
    </row>
    <row r="43" spans="1:4" ht="14.25">
      <c r="A43" s="73" t="s">
        <v>57</v>
      </c>
      <c r="B43" s="55">
        <f>B41+B42</f>
        <v>24000</v>
      </c>
      <c r="C43" s="55">
        <f>C41+C42</f>
        <v>112000</v>
      </c>
      <c r="D43" s="50">
        <f>SUM(B43:C43)</f>
        <v>136000</v>
      </c>
    </row>
    <row r="44" spans="1:4" ht="9.75" customHeight="1">
      <c r="A44" s="31"/>
      <c r="B44" s="69"/>
      <c r="C44" s="69"/>
      <c r="D44" s="69"/>
    </row>
    <row r="45" spans="1:4" ht="15">
      <c r="A45" s="73" t="s">
        <v>58</v>
      </c>
      <c r="B45" s="69"/>
      <c r="C45" s="69"/>
      <c r="D45" s="69"/>
    </row>
    <row r="46" spans="1:4" ht="15">
      <c r="A46" s="71" t="s">
        <v>59</v>
      </c>
      <c r="B46" s="72">
        <v>0</v>
      </c>
      <c r="C46" s="72">
        <v>0</v>
      </c>
      <c r="D46" s="69"/>
    </row>
    <row r="47" spans="1:4" ht="15">
      <c r="A47" s="71" t="s">
        <v>60</v>
      </c>
      <c r="B47" s="22">
        <v>0</v>
      </c>
      <c r="C47" s="72">
        <v>0</v>
      </c>
      <c r="D47" s="55">
        <f>SUM(B47:C47)</f>
        <v>0</v>
      </c>
    </row>
    <row r="48" spans="1:4" ht="15">
      <c r="A48" s="71" t="s">
        <v>61</v>
      </c>
      <c r="B48" s="22">
        <v>0</v>
      </c>
      <c r="C48" s="72">
        <v>0</v>
      </c>
      <c r="D48" s="55">
        <f>SUM(B48:C48)</f>
        <v>0</v>
      </c>
    </row>
    <row r="49" spans="1:4" ht="15">
      <c r="A49" s="31"/>
      <c r="B49" s="31"/>
      <c r="C49" s="31"/>
      <c r="D49" s="69"/>
    </row>
    <row r="50" spans="1:4" ht="15">
      <c r="A50" s="71" t="s">
        <v>63</v>
      </c>
      <c r="B50" s="22">
        <v>-3000</v>
      </c>
      <c r="C50" s="48">
        <v>-3000</v>
      </c>
      <c r="D50" s="55">
        <f>SUM(B50:C50)</f>
        <v>-6000</v>
      </c>
    </row>
    <row r="51" spans="1:4" ht="15">
      <c r="A51" s="31"/>
      <c r="B51" s="31"/>
      <c r="C51" s="31"/>
      <c r="D51" s="31"/>
    </row>
    <row r="52" spans="1:4" ht="15">
      <c r="A52" s="73" t="s">
        <v>70</v>
      </c>
      <c r="B52" s="74">
        <v>30</v>
      </c>
      <c r="C52" s="77">
        <v>20</v>
      </c>
      <c r="D52" s="69"/>
    </row>
    <row r="53" spans="1:4" ht="14.25">
      <c r="A53" s="73" t="s">
        <v>71</v>
      </c>
      <c r="B53" s="55">
        <v>24000</v>
      </c>
      <c r="C53" s="50">
        <v>109000</v>
      </c>
      <c r="D53" s="55">
        <f>SUM(B53:C53)</f>
        <v>133000</v>
      </c>
    </row>
    <row r="54" spans="1:4" ht="15" hidden="1">
      <c r="A54" s="31" t="s">
        <v>56</v>
      </c>
      <c r="B54" s="78">
        <v>0</v>
      </c>
      <c r="C54" s="49">
        <v>0</v>
      </c>
      <c r="D54" s="79">
        <f>SUM(B54:C54)</f>
        <v>0</v>
      </c>
    </row>
    <row r="55" spans="1:4" ht="14.25">
      <c r="A55" s="73" t="s">
        <v>73</v>
      </c>
      <c r="B55" s="55">
        <f>B43+B48+B50</f>
        <v>21000</v>
      </c>
      <c r="C55" s="55">
        <f>C43+C48+C50</f>
        <v>109000</v>
      </c>
      <c r="D55" s="55">
        <f>SUM(B55:C55)</f>
        <v>130000</v>
      </c>
    </row>
  </sheetData>
  <mergeCells count="6">
    <mergeCell ref="E7:E8"/>
    <mergeCell ref="B1:C1"/>
    <mergeCell ref="A7:A8"/>
    <mergeCell ref="B7:B8"/>
    <mergeCell ref="C7:C8"/>
    <mergeCell ref="D7:D8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J6" sqref="J6"/>
    </sheetView>
  </sheetViews>
  <sheetFormatPr defaultColWidth="9.140625" defaultRowHeight="12.75"/>
  <cols>
    <col min="1" max="1" width="24.421875" style="19" customWidth="1"/>
    <col min="2" max="2" width="12.140625" style="19" customWidth="1"/>
    <col min="3" max="3" width="15.421875" style="19" customWidth="1"/>
    <col min="4" max="16384" width="9.140625" style="19" customWidth="1"/>
  </cols>
  <sheetData>
    <row r="1" spans="1:3" ht="14.25">
      <c r="A1" s="29" t="s">
        <v>76</v>
      </c>
      <c r="B1" s="204" t="s">
        <v>77</v>
      </c>
      <c r="C1" s="204"/>
    </row>
    <row r="2" ht="15">
      <c r="A2" s="80"/>
    </row>
    <row r="3" spans="1:6" ht="15">
      <c r="A3" s="31"/>
      <c r="B3" s="31"/>
      <c r="C3" s="208" t="s">
        <v>78</v>
      </c>
      <c r="D3" s="208"/>
      <c r="E3" s="208"/>
      <c r="F3" s="31"/>
    </row>
    <row r="4" spans="1:6" ht="45">
      <c r="A4" s="31"/>
      <c r="B4" s="81" t="s">
        <v>418</v>
      </c>
      <c r="C4" s="82" t="s">
        <v>79</v>
      </c>
      <c r="D4" s="82" t="s">
        <v>425</v>
      </c>
      <c r="E4" s="82" t="s">
        <v>81</v>
      </c>
      <c r="F4" s="81" t="s">
        <v>82</v>
      </c>
    </row>
    <row r="5" spans="1:6" ht="30">
      <c r="A5" s="52" t="s">
        <v>432</v>
      </c>
      <c r="B5" s="48">
        <f>SUM(C5:E5)</f>
        <v>120000</v>
      </c>
      <c r="C5" s="83">
        <f>7000+37000</f>
        <v>44000</v>
      </c>
      <c r="D5" s="83">
        <f>21000+55000</f>
        <v>76000</v>
      </c>
      <c r="E5" s="83">
        <v>0</v>
      </c>
      <c r="F5" s="88">
        <v>0.04</v>
      </c>
    </row>
    <row r="6" spans="1:6" ht="30">
      <c r="A6" s="51" t="s">
        <v>317</v>
      </c>
      <c r="B6" s="48">
        <f>SUM(C6:E6)</f>
        <v>56000</v>
      </c>
      <c r="C6" s="83">
        <v>1000</v>
      </c>
      <c r="D6" s="83">
        <v>55000</v>
      </c>
      <c r="E6" s="83">
        <v>0</v>
      </c>
      <c r="F6" s="88">
        <v>0.04</v>
      </c>
    </row>
    <row r="7" spans="1:6" ht="15">
      <c r="A7" s="51" t="s">
        <v>83</v>
      </c>
      <c r="B7" s="49">
        <f>SUM(C7:E7)</f>
        <v>234000</v>
      </c>
      <c r="C7" s="84">
        <v>10000</v>
      </c>
      <c r="D7" s="84">
        <f>27000+73000+150000-55000</f>
        <v>195000</v>
      </c>
      <c r="E7" s="84">
        <v>29000</v>
      </c>
      <c r="F7" s="85">
        <v>0.08</v>
      </c>
    </row>
    <row r="8" spans="1:8" ht="15">
      <c r="A8" s="86" t="s">
        <v>84</v>
      </c>
      <c r="B8" s="50">
        <f>SUM(B5:B7)</f>
        <v>410000</v>
      </c>
      <c r="C8" s="87">
        <f>SUM(C5:C7)</f>
        <v>55000</v>
      </c>
      <c r="D8" s="87">
        <f>SUM(D5:D7)</f>
        <v>326000</v>
      </c>
      <c r="E8" s="87">
        <f>SUM(E5:E7)</f>
        <v>29000</v>
      </c>
      <c r="F8" s="31"/>
      <c r="G8" s="103"/>
      <c r="H8" s="103"/>
    </row>
    <row r="9" spans="1:8" ht="15">
      <c r="A9" s="86" t="s">
        <v>395</v>
      </c>
      <c r="B9" s="50">
        <f>D8+E8</f>
        <v>355000</v>
      </c>
      <c r="C9" s="87"/>
      <c r="D9" s="87"/>
      <c r="E9" s="87"/>
      <c r="F9" s="31"/>
      <c r="G9" s="103"/>
      <c r="H9" s="103"/>
    </row>
    <row r="10" spans="1:6" ht="15">
      <c r="A10" s="31"/>
      <c r="B10" s="31"/>
      <c r="C10" s="208" t="s">
        <v>78</v>
      </c>
      <c r="D10" s="208"/>
      <c r="E10" s="208"/>
      <c r="F10" s="31"/>
    </row>
    <row r="11" spans="1:6" ht="45">
      <c r="A11" s="31"/>
      <c r="B11" s="81" t="s">
        <v>404</v>
      </c>
      <c r="C11" s="82" t="s">
        <v>79</v>
      </c>
      <c r="D11" s="82" t="s">
        <v>425</v>
      </c>
      <c r="E11" s="82" t="s">
        <v>81</v>
      </c>
      <c r="F11" s="81" t="s">
        <v>82</v>
      </c>
    </row>
    <row r="12" spans="1:6" ht="30">
      <c r="A12" s="52" t="s">
        <v>432</v>
      </c>
      <c r="B12" s="48">
        <f>SUM(C12:E12)</f>
        <v>74000</v>
      </c>
      <c r="C12" s="83">
        <v>17000</v>
      </c>
      <c r="D12" s="83">
        <v>57000</v>
      </c>
      <c r="E12" s="83">
        <v>0</v>
      </c>
      <c r="F12" s="88">
        <v>0.04</v>
      </c>
    </row>
    <row r="13" spans="1:6" ht="30">
      <c r="A13" s="51" t="s">
        <v>317</v>
      </c>
      <c r="B13" s="48">
        <f>SUM(C13:E13)</f>
        <v>47000</v>
      </c>
      <c r="C13" s="83">
        <v>0</v>
      </c>
      <c r="D13" s="83">
        <v>47000</v>
      </c>
      <c r="E13" s="83">
        <v>0</v>
      </c>
      <c r="F13" s="88">
        <v>0.04</v>
      </c>
    </row>
    <row r="14" spans="1:6" ht="15">
      <c r="A14" s="51" t="s">
        <v>83</v>
      </c>
      <c r="B14" s="49">
        <f>SUM(C14:E14)</f>
        <v>396700</v>
      </c>
      <c r="C14" s="84">
        <f>17500</f>
        <v>17500</v>
      </c>
      <c r="D14" s="84">
        <f>53500+309200-91500+126000-47000</f>
        <v>350200</v>
      </c>
      <c r="E14" s="84">
        <v>29000</v>
      </c>
      <c r="F14" s="85">
        <v>0.08</v>
      </c>
    </row>
    <row r="15" spans="1:7" ht="15">
      <c r="A15" s="86" t="s">
        <v>84</v>
      </c>
      <c r="B15" s="50">
        <f>SUM(B10:B14)</f>
        <v>517700</v>
      </c>
      <c r="C15" s="87">
        <f>SUM(C12:C14)</f>
        <v>34500</v>
      </c>
      <c r="D15" s="87">
        <f>SUM(D12:D14)</f>
        <v>454200</v>
      </c>
      <c r="E15" s="87">
        <f>SUM(E12:E14)</f>
        <v>29000</v>
      </c>
      <c r="F15" s="31"/>
      <c r="G15" s="103"/>
    </row>
    <row r="16" spans="1:2" ht="14.25">
      <c r="A16" s="86" t="s">
        <v>395</v>
      </c>
      <c r="B16" s="188">
        <f>D15+E15</f>
        <v>483200</v>
      </c>
    </row>
    <row r="17" spans="1:4" ht="15">
      <c r="A17" s="186"/>
      <c r="B17" s="187"/>
      <c r="D17" s="103"/>
    </row>
    <row r="19" ht="14.25">
      <c r="D19" s="103"/>
    </row>
  </sheetData>
  <mergeCells count="3">
    <mergeCell ref="C3:E3"/>
    <mergeCell ref="C10:E10"/>
    <mergeCell ref="B1:C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8" sqref="A18"/>
    </sheetView>
  </sheetViews>
  <sheetFormatPr defaultColWidth="9.140625" defaultRowHeight="12.75"/>
  <cols>
    <col min="1" max="1" width="45.28125" style="19" customWidth="1"/>
    <col min="2" max="2" width="15.57421875" style="19" customWidth="1"/>
    <col min="3" max="16384" width="9.140625" style="19" customWidth="1"/>
  </cols>
  <sheetData>
    <row r="1" spans="1:2" ht="28.5">
      <c r="A1" s="29" t="s">
        <v>85</v>
      </c>
      <c r="B1" s="29" t="s">
        <v>183</v>
      </c>
    </row>
    <row r="2" ht="15">
      <c r="A2" s="31"/>
    </row>
    <row r="3" spans="1:3" ht="15">
      <c r="A3" s="31"/>
      <c r="B3" s="47">
        <v>2008</v>
      </c>
      <c r="C3" s="47">
        <v>2007</v>
      </c>
    </row>
    <row r="4" spans="1:3" ht="15">
      <c r="A4" s="31" t="s">
        <v>87</v>
      </c>
      <c r="B4" s="48">
        <v>350000</v>
      </c>
      <c r="C4" s="48">
        <v>320000</v>
      </c>
    </row>
    <row r="5" spans="1:3" ht="15">
      <c r="A5" s="31" t="s">
        <v>88</v>
      </c>
      <c r="B5" s="49">
        <v>150000</v>
      </c>
      <c r="C5" s="49">
        <v>125000</v>
      </c>
    </row>
    <row r="6" spans="1:3" ht="14.25">
      <c r="A6" s="46" t="s">
        <v>89</v>
      </c>
      <c r="B6" s="50">
        <f>B4-B5</f>
        <v>200000</v>
      </c>
      <c r="C6" s="50">
        <f>C4-C5</f>
        <v>195000</v>
      </c>
    </row>
    <row r="9" ht="15">
      <c r="A9" s="31" t="s">
        <v>372</v>
      </c>
    </row>
    <row r="10" spans="1:2" ht="15">
      <c r="A10" s="46" t="s">
        <v>356</v>
      </c>
      <c r="B10" s="165">
        <v>450000</v>
      </c>
    </row>
    <row r="11" spans="1:2" ht="15">
      <c r="A11" s="31" t="s">
        <v>91</v>
      </c>
      <c r="B11" s="165">
        <v>150000</v>
      </c>
    </row>
    <row r="12" spans="1:2" ht="14.25">
      <c r="A12" s="46" t="s">
        <v>404</v>
      </c>
      <c r="B12" s="166">
        <f>SUM(B10:B11)</f>
        <v>600000</v>
      </c>
    </row>
    <row r="13" ht="14.25">
      <c r="A13" s="46"/>
    </row>
    <row r="14" spans="1:2" ht="14.25">
      <c r="A14" s="46" t="s">
        <v>404</v>
      </c>
      <c r="B14" s="50">
        <v>600000</v>
      </c>
    </row>
    <row r="15" spans="1:2" ht="15">
      <c r="A15" s="31" t="s">
        <v>90</v>
      </c>
      <c r="B15" s="48">
        <v>250000</v>
      </c>
    </row>
    <row r="16" spans="1:2" ht="15">
      <c r="A16" s="31" t="s">
        <v>91</v>
      </c>
      <c r="B16" s="48">
        <v>50000</v>
      </c>
    </row>
    <row r="17" spans="1:2" ht="14.25">
      <c r="A17" s="46" t="s">
        <v>418</v>
      </c>
      <c r="B17" s="50">
        <f>SUM(B14:B16)</f>
        <v>900000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30" sqref="A30"/>
    </sheetView>
  </sheetViews>
  <sheetFormatPr defaultColWidth="9.140625" defaultRowHeight="12.75"/>
  <cols>
    <col min="1" max="1" width="37.28125" style="0" bestFit="1" customWidth="1"/>
  </cols>
  <sheetData>
    <row r="1" spans="1:2" s="19" customFormat="1" ht="14.25">
      <c r="A1" s="29" t="s">
        <v>92</v>
      </c>
      <c r="B1" s="131" t="s">
        <v>93</v>
      </c>
    </row>
    <row r="2" spans="1:7" ht="45">
      <c r="A2" s="115"/>
      <c r="B2" s="135" t="s">
        <v>94</v>
      </c>
      <c r="C2" s="135" t="s">
        <v>95</v>
      </c>
      <c r="D2" s="135" t="s">
        <v>184</v>
      </c>
      <c r="E2" s="135" t="s">
        <v>301</v>
      </c>
      <c r="F2" s="135" t="s">
        <v>302</v>
      </c>
      <c r="G2" s="136" t="s">
        <v>84</v>
      </c>
    </row>
    <row r="3" spans="1:7" ht="14.25">
      <c r="A3" s="123" t="s">
        <v>405</v>
      </c>
      <c r="B3" s="116">
        <v>0</v>
      </c>
      <c r="C3" s="116">
        <v>0</v>
      </c>
      <c r="D3" s="116">
        <v>0</v>
      </c>
      <c r="E3" s="116">
        <v>0</v>
      </c>
      <c r="F3" s="116">
        <v>0</v>
      </c>
      <c r="G3" s="116">
        <v>0</v>
      </c>
    </row>
    <row r="4" spans="1:7" ht="15">
      <c r="A4" s="118" t="s">
        <v>303</v>
      </c>
      <c r="B4" s="117"/>
      <c r="C4" s="117"/>
      <c r="D4" s="117"/>
      <c r="E4" s="117"/>
      <c r="F4" s="117"/>
      <c r="G4" s="117">
        <v>0</v>
      </c>
    </row>
    <row r="5" spans="1:7" ht="15">
      <c r="A5" s="118" t="s">
        <v>304</v>
      </c>
      <c r="B5" s="117"/>
      <c r="C5" s="117"/>
      <c r="D5" s="117"/>
      <c r="E5" s="117"/>
      <c r="F5" s="117"/>
      <c r="G5" s="117">
        <v>0</v>
      </c>
    </row>
    <row r="6" spans="1:7" ht="15">
      <c r="A6" s="118" t="s">
        <v>305</v>
      </c>
      <c r="B6" s="119"/>
      <c r="C6" s="119"/>
      <c r="D6" s="119"/>
      <c r="E6" s="119"/>
      <c r="F6" s="119"/>
      <c r="G6" s="117">
        <v>0</v>
      </c>
    </row>
    <row r="7" spans="1:7" ht="15">
      <c r="A7" s="118" t="s">
        <v>306</v>
      </c>
      <c r="B7" s="120"/>
      <c r="C7" s="120"/>
      <c r="D7" s="120"/>
      <c r="E7" s="120"/>
      <c r="F7" s="120"/>
      <c r="G7" s="117">
        <v>0</v>
      </c>
    </row>
    <row r="8" spans="1:7" ht="15">
      <c r="A8" s="118" t="s">
        <v>307</v>
      </c>
      <c r="B8" s="120"/>
      <c r="C8" s="120"/>
      <c r="D8" s="120"/>
      <c r="E8" s="120"/>
      <c r="F8" s="120"/>
      <c r="G8" s="117">
        <v>0</v>
      </c>
    </row>
    <row r="9" spans="1:7" ht="15">
      <c r="A9" s="124" t="s">
        <v>308</v>
      </c>
      <c r="B9" s="120"/>
      <c r="C9" s="120"/>
      <c r="D9" s="120"/>
      <c r="E9" s="120"/>
      <c r="F9" s="120"/>
      <c r="G9" s="117">
        <v>0</v>
      </c>
    </row>
    <row r="10" spans="1:7" ht="15" thickBot="1">
      <c r="A10" s="125" t="s">
        <v>419</v>
      </c>
      <c r="B10" s="121">
        <v>0</v>
      </c>
      <c r="C10" s="121">
        <v>0</v>
      </c>
      <c r="D10" s="121">
        <v>0</v>
      </c>
      <c r="E10" s="121">
        <v>0</v>
      </c>
      <c r="F10" s="121">
        <v>0</v>
      </c>
      <c r="G10" s="122">
        <v>0</v>
      </c>
    </row>
    <row r="11" spans="1:7" ht="14.25">
      <c r="A11" s="126" t="s">
        <v>406</v>
      </c>
      <c r="B11" s="116">
        <v>0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</row>
    <row r="12" spans="1:7" ht="15">
      <c r="A12" s="127" t="s">
        <v>309</v>
      </c>
      <c r="B12" s="117"/>
      <c r="C12" s="117"/>
      <c r="D12" s="117"/>
      <c r="E12" s="117"/>
      <c r="F12" s="117"/>
      <c r="G12" s="117">
        <v>0</v>
      </c>
    </row>
    <row r="13" spans="1:7" ht="15">
      <c r="A13" s="127" t="s">
        <v>310</v>
      </c>
      <c r="B13" s="117"/>
      <c r="C13" s="117"/>
      <c r="D13" s="117"/>
      <c r="E13" s="117"/>
      <c r="F13" s="117"/>
      <c r="G13" s="117">
        <v>0</v>
      </c>
    </row>
    <row r="14" spans="1:7" ht="15">
      <c r="A14" s="129" t="s">
        <v>311</v>
      </c>
      <c r="B14" s="130"/>
      <c r="C14" s="130"/>
      <c r="D14" s="130"/>
      <c r="E14" s="130"/>
      <c r="F14" s="130"/>
      <c r="G14" s="130">
        <v>0</v>
      </c>
    </row>
    <row r="15" spans="1:7" ht="15">
      <c r="A15" s="127" t="s">
        <v>312</v>
      </c>
      <c r="B15" s="117"/>
      <c r="C15" s="117"/>
      <c r="D15" s="117"/>
      <c r="E15" s="117"/>
      <c r="F15" s="117"/>
      <c r="G15" s="117">
        <v>0</v>
      </c>
    </row>
    <row r="16" spans="1:7" ht="15">
      <c r="A16" s="127" t="s">
        <v>313</v>
      </c>
      <c r="B16" s="119"/>
      <c r="C16" s="119"/>
      <c r="D16" s="119"/>
      <c r="E16" s="119"/>
      <c r="F16" s="119"/>
      <c r="G16" s="117">
        <v>0</v>
      </c>
    </row>
    <row r="17" spans="1:7" ht="15" thickBot="1">
      <c r="A17" s="128" t="s">
        <v>420</v>
      </c>
      <c r="B17" s="121">
        <v>0</v>
      </c>
      <c r="C17" s="121">
        <v>0</v>
      </c>
      <c r="D17" s="121">
        <v>0</v>
      </c>
      <c r="E17" s="121">
        <v>0</v>
      </c>
      <c r="F17" s="121">
        <v>0</v>
      </c>
      <c r="G17" s="122">
        <v>0</v>
      </c>
    </row>
    <row r="18" spans="1:7" ht="14.25">
      <c r="A18" s="126" t="s">
        <v>407</v>
      </c>
      <c r="B18" s="116">
        <v>0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</row>
    <row r="19" spans="1:7" ht="14.25">
      <c r="A19" s="126" t="s">
        <v>421</v>
      </c>
      <c r="B19" s="116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</row>
    <row r="21" spans="1:7" ht="45">
      <c r="A21" s="115"/>
      <c r="B21" s="135" t="s">
        <v>94</v>
      </c>
      <c r="C21" s="135" t="s">
        <v>95</v>
      </c>
      <c r="D21" s="135" t="s">
        <v>184</v>
      </c>
      <c r="E21" s="135" t="s">
        <v>301</v>
      </c>
      <c r="F21" s="135" t="s">
        <v>302</v>
      </c>
      <c r="G21" s="136" t="s">
        <v>84</v>
      </c>
    </row>
    <row r="22" spans="1:7" ht="14.25">
      <c r="A22" s="123" t="s">
        <v>357</v>
      </c>
      <c r="B22" s="116"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</row>
    <row r="23" spans="1:7" ht="15">
      <c r="A23" s="118" t="s">
        <v>303</v>
      </c>
      <c r="B23" s="117"/>
      <c r="C23" s="117"/>
      <c r="D23" s="117"/>
      <c r="E23" s="117"/>
      <c r="F23" s="117"/>
      <c r="G23" s="117">
        <v>0</v>
      </c>
    </row>
    <row r="24" spans="1:7" ht="15">
      <c r="A24" s="118" t="s">
        <v>304</v>
      </c>
      <c r="B24" s="117"/>
      <c r="C24" s="117"/>
      <c r="D24" s="117"/>
      <c r="E24" s="117"/>
      <c r="F24" s="117"/>
      <c r="G24" s="117">
        <v>0</v>
      </c>
    </row>
    <row r="25" spans="1:7" ht="15">
      <c r="A25" s="118" t="s">
        <v>305</v>
      </c>
      <c r="B25" s="119"/>
      <c r="C25" s="119"/>
      <c r="D25" s="119"/>
      <c r="E25" s="119"/>
      <c r="F25" s="119"/>
      <c r="G25" s="117">
        <v>0</v>
      </c>
    </row>
    <row r="26" spans="1:7" ht="15">
      <c r="A26" s="118" t="s">
        <v>306</v>
      </c>
      <c r="B26" s="120"/>
      <c r="C26" s="120"/>
      <c r="D26" s="120"/>
      <c r="E26" s="120"/>
      <c r="F26" s="120"/>
      <c r="G26" s="117">
        <v>0</v>
      </c>
    </row>
    <row r="27" spans="1:7" ht="15">
      <c r="A27" s="118" t="s">
        <v>307</v>
      </c>
      <c r="B27" s="120"/>
      <c r="C27" s="120"/>
      <c r="D27" s="120"/>
      <c r="E27" s="120"/>
      <c r="F27" s="120"/>
      <c r="G27" s="117">
        <v>0</v>
      </c>
    </row>
    <row r="28" spans="1:7" ht="15">
      <c r="A28" s="124" t="s">
        <v>308</v>
      </c>
      <c r="B28" s="120"/>
      <c r="C28" s="120"/>
      <c r="D28" s="120"/>
      <c r="E28" s="120"/>
      <c r="F28" s="120"/>
      <c r="G28" s="117">
        <v>0</v>
      </c>
    </row>
    <row r="29" spans="1:7" ht="15" thickBot="1">
      <c r="A29" s="125" t="s">
        <v>405</v>
      </c>
      <c r="B29" s="121">
        <v>0</v>
      </c>
      <c r="C29" s="121">
        <v>0</v>
      </c>
      <c r="D29" s="121">
        <v>0</v>
      </c>
      <c r="E29" s="121">
        <v>0</v>
      </c>
      <c r="F29" s="121">
        <v>0</v>
      </c>
      <c r="G29" s="122">
        <v>0</v>
      </c>
    </row>
    <row r="30" spans="1:7" ht="14.25">
      <c r="A30" s="126" t="s">
        <v>358</v>
      </c>
      <c r="B30" s="116">
        <v>0</v>
      </c>
      <c r="C30" s="116">
        <v>0</v>
      </c>
      <c r="D30" s="116">
        <v>0</v>
      </c>
      <c r="E30" s="116">
        <v>0</v>
      </c>
      <c r="F30" s="116">
        <v>0</v>
      </c>
      <c r="G30" s="116">
        <v>0</v>
      </c>
    </row>
    <row r="31" spans="1:7" ht="15">
      <c r="A31" s="127" t="s">
        <v>309</v>
      </c>
      <c r="B31" s="117"/>
      <c r="C31" s="117"/>
      <c r="D31" s="117"/>
      <c r="E31" s="117"/>
      <c r="F31" s="117"/>
      <c r="G31" s="117">
        <v>0</v>
      </c>
    </row>
    <row r="32" spans="1:7" ht="15">
      <c r="A32" s="127" t="s">
        <v>310</v>
      </c>
      <c r="B32" s="117"/>
      <c r="C32" s="117"/>
      <c r="D32" s="117"/>
      <c r="E32" s="117"/>
      <c r="F32" s="117"/>
      <c r="G32" s="117">
        <v>0</v>
      </c>
    </row>
    <row r="33" spans="1:7" ht="15">
      <c r="A33" s="129" t="s">
        <v>311</v>
      </c>
      <c r="B33" s="130"/>
      <c r="C33" s="130"/>
      <c r="D33" s="130"/>
      <c r="E33" s="130"/>
      <c r="F33" s="130"/>
      <c r="G33" s="130">
        <v>0</v>
      </c>
    </row>
    <row r="34" spans="1:7" ht="15">
      <c r="A34" s="127" t="s">
        <v>312</v>
      </c>
      <c r="B34" s="117"/>
      <c r="C34" s="117"/>
      <c r="D34" s="117"/>
      <c r="E34" s="117"/>
      <c r="F34" s="117"/>
      <c r="G34" s="117">
        <v>0</v>
      </c>
    </row>
    <row r="35" spans="1:7" ht="15">
      <c r="A35" s="127" t="s">
        <v>313</v>
      </c>
      <c r="B35" s="119"/>
      <c r="C35" s="119"/>
      <c r="D35" s="119"/>
      <c r="E35" s="119"/>
      <c r="F35" s="119"/>
      <c r="G35" s="117">
        <v>0</v>
      </c>
    </row>
    <row r="36" spans="1:7" ht="15" thickBot="1">
      <c r="A36" s="128" t="s">
        <v>406</v>
      </c>
      <c r="B36" s="121">
        <v>0</v>
      </c>
      <c r="C36" s="121">
        <v>0</v>
      </c>
      <c r="D36" s="121">
        <v>0</v>
      </c>
      <c r="E36" s="121">
        <v>0</v>
      </c>
      <c r="F36" s="121">
        <v>0</v>
      </c>
      <c r="G36" s="122">
        <v>0</v>
      </c>
    </row>
    <row r="37" spans="1:7" ht="14.25">
      <c r="A37" s="126" t="s">
        <v>359</v>
      </c>
      <c r="B37" s="116">
        <v>0</v>
      </c>
      <c r="C37" s="116">
        <v>0</v>
      </c>
      <c r="D37" s="116">
        <v>0</v>
      </c>
      <c r="E37" s="116">
        <v>0</v>
      </c>
      <c r="F37" s="116">
        <v>0</v>
      </c>
      <c r="G37" s="116">
        <v>0</v>
      </c>
    </row>
    <row r="38" spans="1:7" ht="14.25">
      <c r="A38" s="126" t="s">
        <v>407</v>
      </c>
      <c r="B38" s="116">
        <v>0</v>
      </c>
      <c r="C38" s="116">
        <v>0</v>
      </c>
      <c r="D38" s="116">
        <v>0</v>
      </c>
      <c r="E38" s="116">
        <v>0</v>
      </c>
      <c r="F38" s="116">
        <v>0</v>
      </c>
      <c r="G38" s="116">
        <v>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7">
      <selection activeCell="A34" sqref="A34"/>
    </sheetView>
  </sheetViews>
  <sheetFormatPr defaultColWidth="9.140625" defaultRowHeight="12.75"/>
  <cols>
    <col min="1" max="1" width="37.28125" style="0" bestFit="1" customWidth="1"/>
  </cols>
  <sheetData>
    <row r="1" spans="1:2" s="19" customFormat="1" ht="14.25">
      <c r="A1" s="29" t="s">
        <v>92</v>
      </c>
      <c r="B1" s="131" t="s">
        <v>93</v>
      </c>
    </row>
    <row r="2" spans="1:7" ht="45">
      <c r="A2" s="115"/>
      <c r="B2" s="149" t="s">
        <v>94</v>
      </c>
      <c r="C2" s="149" t="s">
        <v>95</v>
      </c>
      <c r="D2" s="149" t="s">
        <v>184</v>
      </c>
      <c r="E2" s="149" t="s">
        <v>301</v>
      </c>
      <c r="F2" s="149" t="s">
        <v>302</v>
      </c>
      <c r="G2" s="44" t="s">
        <v>84</v>
      </c>
    </row>
    <row r="3" spans="1:7" ht="14.25">
      <c r="A3" s="147" t="s">
        <v>357</v>
      </c>
      <c r="B3" s="148">
        <v>0</v>
      </c>
      <c r="C3" s="148">
        <v>0</v>
      </c>
      <c r="D3" s="148">
        <v>0</v>
      </c>
      <c r="E3" s="148">
        <v>0</v>
      </c>
      <c r="F3" s="148">
        <v>0</v>
      </c>
      <c r="G3" s="148">
        <f>SUM(B3:F3)</f>
        <v>0</v>
      </c>
    </row>
    <row r="4" spans="1:7" ht="15">
      <c r="A4" s="143" t="s">
        <v>303</v>
      </c>
      <c r="B4" s="144"/>
      <c r="C4" s="144"/>
      <c r="D4" s="144"/>
      <c r="E4" s="144"/>
      <c r="F4" s="144"/>
      <c r="G4" s="144">
        <v>0</v>
      </c>
    </row>
    <row r="5" spans="1:7" ht="15">
      <c r="A5" s="143" t="s">
        <v>304</v>
      </c>
      <c r="B5" s="144"/>
      <c r="C5" s="144"/>
      <c r="D5" s="144"/>
      <c r="E5" s="144"/>
      <c r="F5" s="144"/>
      <c r="G5" s="144">
        <v>0</v>
      </c>
    </row>
    <row r="6" spans="1:7" ht="15">
      <c r="A6" s="143" t="s">
        <v>305</v>
      </c>
      <c r="B6" s="144"/>
      <c r="C6" s="144"/>
      <c r="D6" s="144"/>
      <c r="E6" s="144"/>
      <c r="F6" s="144"/>
      <c r="G6" s="144">
        <v>0</v>
      </c>
    </row>
    <row r="7" spans="1:7" ht="15">
      <c r="A7" s="143" t="s">
        <v>306</v>
      </c>
      <c r="B7" s="144"/>
      <c r="C7" s="144"/>
      <c r="D7" s="144"/>
      <c r="E7" s="144"/>
      <c r="F7" s="144"/>
      <c r="G7" s="144">
        <v>0</v>
      </c>
    </row>
    <row r="8" spans="1:7" ht="15">
      <c r="A8" s="143" t="s">
        <v>307</v>
      </c>
      <c r="B8" s="144"/>
      <c r="C8" s="144"/>
      <c r="D8" s="144"/>
      <c r="E8" s="144"/>
      <c r="F8" s="144"/>
      <c r="G8" s="144">
        <v>0</v>
      </c>
    </row>
    <row r="9" spans="1:7" ht="15">
      <c r="A9" s="143" t="s">
        <v>308</v>
      </c>
      <c r="B9" s="144"/>
      <c r="C9" s="144"/>
      <c r="D9" s="144"/>
      <c r="E9" s="144"/>
      <c r="F9" s="144"/>
      <c r="G9" s="144">
        <v>0</v>
      </c>
    </row>
    <row r="10" spans="1:7" ht="14.25">
      <c r="A10" s="147" t="s">
        <v>405</v>
      </c>
      <c r="B10" s="148">
        <f>SUM(B3:B9)</f>
        <v>0</v>
      </c>
      <c r="C10" s="148">
        <f>SUM(C3:C9)</f>
        <v>0</v>
      </c>
      <c r="D10" s="148">
        <f>SUM(D3:D9)</f>
        <v>0</v>
      </c>
      <c r="E10" s="148">
        <f>SUM(E3:E9)</f>
        <v>0</v>
      </c>
      <c r="F10" s="148">
        <f>SUM(F3:F9)</f>
        <v>0</v>
      </c>
      <c r="G10" s="148">
        <f>SUM(B10:F10)</f>
        <v>0</v>
      </c>
    </row>
    <row r="11" spans="1:7" ht="15">
      <c r="A11" s="143" t="s">
        <v>303</v>
      </c>
      <c r="B11" s="144"/>
      <c r="C11" s="144"/>
      <c r="D11" s="144"/>
      <c r="E11" s="144"/>
      <c r="F11" s="144"/>
      <c r="G11" s="144">
        <v>0</v>
      </c>
    </row>
    <row r="12" spans="1:7" ht="15">
      <c r="A12" s="143" t="s">
        <v>304</v>
      </c>
      <c r="B12" s="144"/>
      <c r="C12" s="144"/>
      <c r="D12" s="144"/>
      <c r="E12" s="144"/>
      <c r="F12" s="144"/>
      <c r="G12" s="144">
        <v>0</v>
      </c>
    </row>
    <row r="13" spans="1:7" ht="15">
      <c r="A13" s="143" t="s">
        <v>305</v>
      </c>
      <c r="B13" s="144"/>
      <c r="C13" s="144"/>
      <c r="D13" s="144"/>
      <c r="E13" s="144"/>
      <c r="F13" s="144"/>
      <c r="G13" s="144">
        <v>0</v>
      </c>
    </row>
    <row r="14" spans="1:7" ht="15">
      <c r="A14" s="143" t="s">
        <v>306</v>
      </c>
      <c r="B14" s="144"/>
      <c r="C14" s="144"/>
      <c r="D14" s="144"/>
      <c r="E14" s="144"/>
      <c r="F14" s="144"/>
      <c r="G14" s="144">
        <v>0</v>
      </c>
    </row>
    <row r="15" spans="1:7" ht="15">
      <c r="A15" s="143" t="s">
        <v>307</v>
      </c>
      <c r="B15" s="144"/>
      <c r="C15" s="144"/>
      <c r="D15" s="144"/>
      <c r="E15" s="144"/>
      <c r="F15" s="144"/>
      <c r="G15" s="144">
        <v>0</v>
      </c>
    </row>
    <row r="16" spans="1:7" ht="15">
      <c r="A16" s="143" t="s">
        <v>308</v>
      </c>
      <c r="B16" s="144"/>
      <c r="C16" s="144"/>
      <c r="D16" s="144"/>
      <c r="E16" s="144"/>
      <c r="F16" s="144"/>
      <c r="G16" s="144">
        <v>0</v>
      </c>
    </row>
    <row r="17" spans="1:7" ht="14.25">
      <c r="A17" s="147" t="s">
        <v>419</v>
      </c>
      <c r="B17" s="148">
        <v>0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</row>
    <row r="18" spans="1:7" ht="14.25">
      <c r="A18" s="147" t="s">
        <v>358</v>
      </c>
      <c r="B18" s="148">
        <v>0</v>
      </c>
      <c r="C18" s="148">
        <v>0</v>
      </c>
      <c r="D18" s="148">
        <v>0</v>
      </c>
      <c r="E18" s="148">
        <v>0</v>
      </c>
      <c r="F18" s="148">
        <v>0</v>
      </c>
      <c r="G18" s="148">
        <v>0</v>
      </c>
    </row>
    <row r="19" spans="1:7" ht="15">
      <c r="A19" s="146" t="s">
        <v>309</v>
      </c>
      <c r="B19" s="144"/>
      <c r="C19" s="144"/>
      <c r="D19" s="144"/>
      <c r="E19" s="144"/>
      <c r="F19" s="144"/>
      <c r="G19" s="144">
        <v>0</v>
      </c>
    </row>
    <row r="20" spans="1:7" ht="15">
      <c r="A20" s="146" t="s">
        <v>310</v>
      </c>
      <c r="B20" s="144"/>
      <c r="C20" s="144"/>
      <c r="D20" s="144"/>
      <c r="E20" s="144"/>
      <c r="F20" s="144"/>
      <c r="G20" s="144">
        <v>0</v>
      </c>
    </row>
    <row r="21" spans="1:7" ht="15">
      <c r="A21" s="146" t="s">
        <v>311</v>
      </c>
      <c r="B21" s="144"/>
      <c r="C21" s="144"/>
      <c r="D21" s="144"/>
      <c r="E21" s="144"/>
      <c r="F21" s="144"/>
      <c r="G21" s="144">
        <v>0</v>
      </c>
    </row>
    <row r="22" spans="1:7" ht="15">
      <c r="A22" s="146" t="s">
        <v>312</v>
      </c>
      <c r="B22" s="144"/>
      <c r="C22" s="144"/>
      <c r="D22" s="144"/>
      <c r="E22" s="144"/>
      <c r="F22" s="144"/>
      <c r="G22" s="144">
        <v>0</v>
      </c>
    </row>
    <row r="23" spans="1:7" ht="15">
      <c r="A23" s="146" t="s">
        <v>313</v>
      </c>
      <c r="B23" s="144"/>
      <c r="C23" s="144"/>
      <c r="D23" s="144"/>
      <c r="E23" s="144"/>
      <c r="F23" s="144"/>
      <c r="G23" s="144">
        <v>0</v>
      </c>
    </row>
    <row r="24" spans="1:7" ht="14.25">
      <c r="A24" s="147" t="s">
        <v>406</v>
      </c>
      <c r="B24" s="148">
        <v>0</v>
      </c>
      <c r="C24" s="148">
        <v>0</v>
      </c>
      <c r="D24" s="148">
        <v>0</v>
      </c>
      <c r="E24" s="148">
        <v>0</v>
      </c>
      <c r="F24" s="148">
        <v>0</v>
      </c>
      <c r="G24" s="148">
        <v>0</v>
      </c>
    </row>
    <row r="25" spans="1:7" ht="15">
      <c r="A25" s="146" t="s">
        <v>309</v>
      </c>
      <c r="B25" s="144"/>
      <c r="C25" s="144"/>
      <c r="D25" s="144"/>
      <c r="E25" s="144"/>
      <c r="F25" s="144"/>
      <c r="G25" s="144">
        <v>0</v>
      </c>
    </row>
    <row r="26" spans="1:7" ht="15">
      <c r="A26" s="146" t="s">
        <v>310</v>
      </c>
      <c r="B26" s="144"/>
      <c r="C26" s="144"/>
      <c r="D26" s="144"/>
      <c r="E26" s="144"/>
      <c r="F26" s="144"/>
      <c r="G26" s="144">
        <v>0</v>
      </c>
    </row>
    <row r="27" spans="1:7" ht="15">
      <c r="A27" s="146" t="s">
        <v>311</v>
      </c>
      <c r="B27" s="144"/>
      <c r="C27" s="144"/>
      <c r="D27" s="144"/>
      <c r="E27" s="144"/>
      <c r="F27" s="144"/>
      <c r="G27" s="144">
        <v>0</v>
      </c>
    </row>
    <row r="28" spans="1:7" ht="15">
      <c r="A28" s="146" t="s">
        <v>312</v>
      </c>
      <c r="B28" s="144"/>
      <c r="C28" s="144"/>
      <c r="D28" s="144"/>
      <c r="E28" s="144"/>
      <c r="F28" s="144"/>
      <c r="G28" s="144">
        <v>0</v>
      </c>
    </row>
    <row r="29" spans="1:7" ht="15">
      <c r="A29" s="146" t="s">
        <v>313</v>
      </c>
      <c r="B29" s="144"/>
      <c r="C29" s="144"/>
      <c r="D29" s="144"/>
      <c r="E29" s="144"/>
      <c r="F29" s="144"/>
      <c r="G29" s="144">
        <v>0</v>
      </c>
    </row>
    <row r="30" spans="1:7" ht="14.25">
      <c r="A30" s="147" t="s">
        <v>420</v>
      </c>
      <c r="B30" s="148">
        <v>0</v>
      </c>
      <c r="C30" s="148">
        <v>0</v>
      </c>
      <c r="D30" s="148">
        <v>0</v>
      </c>
      <c r="E30" s="148">
        <v>0</v>
      </c>
      <c r="F30" s="148">
        <v>0</v>
      </c>
      <c r="G30" s="148">
        <v>0</v>
      </c>
    </row>
    <row r="31" spans="1:7" ht="14.25">
      <c r="A31" s="147" t="s">
        <v>359</v>
      </c>
      <c r="B31" s="148">
        <v>0</v>
      </c>
      <c r="C31" s="148">
        <v>0</v>
      </c>
      <c r="D31" s="148">
        <v>0</v>
      </c>
      <c r="E31" s="148">
        <v>0</v>
      </c>
      <c r="F31" s="148">
        <v>0</v>
      </c>
      <c r="G31" s="148">
        <v>0</v>
      </c>
    </row>
    <row r="32" spans="1:7" ht="14.25">
      <c r="A32" s="147" t="s">
        <v>407</v>
      </c>
      <c r="B32" s="148">
        <v>0</v>
      </c>
      <c r="C32" s="148">
        <v>0</v>
      </c>
      <c r="D32" s="148">
        <v>0</v>
      </c>
      <c r="E32" s="148">
        <v>0</v>
      </c>
      <c r="F32" s="148">
        <v>0</v>
      </c>
      <c r="G32" s="148">
        <v>0</v>
      </c>
    </row>
    <row r="33" spans="1:7" ht="14.25">
      <c r="A33" s="137" t="s">
        <v>421</v>
      </c>
      <c r="B33" s="150">
        <v>0</v>
      </c>
      <c r="C33" s="150">
        <v>0</v>
      </c>
      <c r="D33" s="150">
        <v>0</v>
      </c>
      <c r="E33" s="150">
        <v>0</v>
      </c>
      <c r="F33" s="150">
        <v>0</v>
      </c>
      <c r="G33" s="150">
        <v>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E12" sqref="E12"/>
    </sheetView>
  </sheetViews>
  <sheetFormatPr defaultColWidth="9.140625" defaultRowHeight="12.75"/>
  <cols>
    <col min="1" max="1" width="31.28125" style="19" customWidth="1"/>
    <col min="2" max="2" width="10.00390625" style="19" customWidth="1"/>
    <col min="3" max="3" width="12.8515625" style="19" customWidth="1"/>
    <col min="4" max="4" width="16.8515625" style="19" customWidth="1"/>
    <col min="5" max="5" width="10.57421875" style="19" customWidth="1"/>
    <col min="6" max="16384" width="9.140625" style="19" customWidth="1"/>
  </cols>
  <sheetData>
    <row r="1" spans="1:2" ht="14.25">
      <c r="A1" s="29" t="s">
        <v>101</v>
      </c>
      <c r="B1" s="132" t="s">
        <v>102</v>
      </c>
    </row>
    <row r="2" ht="15">
      <c r="A2" s="31"/>
    </row>
    <row r="3" spans="1:5" ht="42.75">
      <c r="A3" s="145"/>
      <c r="B3" s="57" t="s">
        <v>300</v>
      </c>
      <c r="C3" s="133" t="s">
        <v>360</v>
      </c>
      <c r="D3" s="189" t="s">
        <v>361</v>
      </c>
      <c r="E3" s="57" t="s">
        <v>44</v>
      </c>
    </row>
    <row r="4" spans="1:5" ht="15">
      <c r="A4" s="46" t="s">
        <v>355</v>
      </c>
      <c r="B4" s="56"/>
      <c r="D4" s="46"/>
      <c r="E4" s="56"/>
    </row>
    <row r="5" spans="1:5" ht="14.25">
      <c r="A5" s="46" t="s">
        <v>96</v>
      </c>
      <c r="B5" s="55">
        <f>180000+50000</f>
        <v>230000</v>
      </c>
      <c r="C5" s="167"/>
      <c r="D5" s="168"/>
      <c r="E5" s="55">
        <f>SUM(B5:D5)</f>
        <v>230000</v>
      </c>
    </row>
    <row r="6" spans="1:5" ht="15">
      <c r="A6" s="71" t="s">
        <v>97</v>
      </c>
      <c r="B6" s="22">
        <f>-40000-40000</f>
        <v>-80000</v>
      </c>
      <c r="C6" s="167"/>
      <c r="D6" s="169"/>
      <c r="E6" s="22">
        <f>SUM(B6:D6)</f>
        <v>-80000</v>
      </c>
    </row>
    <row r="7" spans="1:5" ht="14.25">
      <c r="A7" s="151" t="s">
        <v>98</v>
      </c>
      <c r="B7" s="152">
        <f>SUM(B5:B6)</f>
        <v>150000</v>
      </c>
      <c r="C7" s="170">
        <v>0</v>
      </c>
      <c r="D7" s="171">
        <v>0</v>
      </c>
      <c r="E7" s="152">
        <f>SUM(E5:E6)</f>
        <v>150000</v>
      </c>
    </row>
    <row r="8" spans="1:5" ht="15">
      <c r="A8" s="31"/>
      <c r="B8" s="69"/>
      <c r="C8" s="167"/>
      <c r="D8" s="172"/>
      <c r="E8" s="69"/>
    </row>
    <row r="9" spans="1:5" ht="15">
      <c r="A9" s="73" t="s">
        <v>408</v>
      </c>
      <c r="B9" s="69"/>
      <c r="C9" s="167"/>
      <c r="D9" s="173"/>
      <c r="E9" s="69"/>
    </row>
    <row r="10" spans="1:5" ht="15">
      <c r="A10" s="71" t="s">
        <v>99</v>
      </c>
      <c r="B10" s="72">
        <v>10500</v>
      </c>
      <c r="C10" s="167"/>
      <c r="D10" s="169">
        <v>10000</v>
      </c>
      <c r="E10" s="174">
        <f>SUM(B10:D10)</f>
        <v>20500</v>
      </c>
    </row>
    <row r="11" spans="1:5" ht="15">
      <c r="A11" s="31" t="s">
        <v>100</v>
      </c>
      <c r="B11" s="48">
        <v>-40500</v>
      </c>
      <c r="C11" s="167"/>
      <c r="D11" s="172"/>
      <c r="E11" s="174">
        <f>SUM(B11:D11)</f>
        <v>-40500</v>
      </c>
    </row>
    <row r="12" spans="1:5" ht="15">
      <c r="A12" s="31"/>
      <c r="B12" s="31"/>
      <c r="C12" s="167"/>
      <c r="D12" s="172"/>
      <c r="E12" s="174"/>
    </row>
    <row r="13" spans="1:5" ht="15">
      <c r="A13" s="46" t="s">
        <v>403</v>
      </c>
      <c r="B13" s="31"/>
      <c r="C13" s="167"/>
      <c r="D13" s="168"/>
      <c r="E13" s="174"/>
    </row>
    <row r="14" spans="1:5" ht="15">
      <c r="A14" s="46" t="s">
        <v>96</v>
      </c>
      <c r="B14" s="50">
        <f>B5+B10</f>
        <v>240500</v>
      </c>
      <c r="C14" s="167"/>
      <c r="D14" s="168">
        <f>SUM(D10:D13)</f>
        <v>10000</v>
      </c>
      <c r="E14" s="174">
        <f>SUM(B14:D14)</f>
        <v>250500</v>
      </c>
    </row>
    <row r="15" spans="1:5" ht="15">
      <c r="A15" s="71" t="s">
        <v>97</v>
      </c>
      <c r="B15" s="48">
        <f>B6+B11</f>
        <v>-120500</v>
      </c>
      <c r="C15" s="167"/>
      <c r="D15" s="169"/>
      <c r="E15" s="174">
        <f>SUM(B15:D15)</f>
        <v>-120500</v>
      </c>
    </row>
    <row r="16" spans="1:5" ht="14.25">
      <c r="A16" s="151" t="s">
        <v>98</v>
      </c>
      <c r="B16" s="153">
        <f>B14+B15</f>
        <v>120000</v>
      </c>
      <c r="C16" s="170">
        <v>0</v>
      </c>
      <c r="D16" s="171">
        <f>SUM(D14:D15)</f>
        <v>10000</v>
      </c>
      <c r="E16" s="175">
        <f>SUM(B16:D16)</f>
        <v>130000</v>
      </c>
    </row>
    <row r="17" spans="3:5" ht="14.25">
      <c r="C17" s="167"/>
      <c r="D17" s="167"/>
      <c r="E17" s="176"/>
    </row>
    <row r="18" spans="1:5" ht="14.25">
      <c r="A18" s="73" t="s">
        <v>422</v>
      </c>
      <c r="C18" s="167"/>
      <c r="D18" s="167"/>
      <c r="E18" s="176"/>
    </row>
    <row r="19" spans="1:5" ht="15">
      <c r="A19" s="71" t="s">
        <v>99</v>
      </c>
      <c r="B19" s="138">
        <v>10000</v>
      </c>
      <c r="C19" s="165">
        <v>5000</v>
      </c>
      <c r="D19" s="165"/>
      <c r="E19" s="165">
        <f>SUM(B19:D19)</f>
        <v>15000</v>
      </c>
    </row>
    <row r="20" spans="1:5" ht="15">
      <c r="A20" s="31" t="s">
        <v>100</v>
      </c>
      <c r="B20" s="138">
        <v>-41000</v>
      </c>
      <c r="C20" s="165"/>
      <c r="D20" s="165"/>
      <c r="E20" s="165">
        <f>SUM(B20:D20)</f>
        <v>-41000</v>
      </c>
    </row>
    <row r="21" spans="1:5" ht="15">
      <c r="A21" s="31"/>
      <c r="B21" s="138"/>
      <c r="C21" s="165"/>
      <c r="D21" s="165"/>
      <c r="E21" s="165"/>
    </row>
    <row r="22" spans="1:5" ht="15">
      <c r="A22" s="46" t="s">
        <v>415</v>
      </c>
      <c r="B22" s="138"/>
      <c r="C22" s="165"/>
      <c r="D22" s="165"/>
      <c r="E22" s="165"/>
    </row>
    <row r="23" spans="1:5" ht="15">
      <c r="A23" s="46" t="s">
        <v>96</v>
      </c>
      <c r="B23" s="138">
        <f>B14+B19</f>
        <v>250500</v>
      </c>
      <c r="C23" s="165">
        <f>SUM(C19)</f>
        <v>5000</v>
      </c>
      <c r="D23" s="165"/>
      <c r="E23" s="165">
        <f>SUM(B23:D23)</f>
        <v>255500</v>
      </c>
    </row>
    <row r="24" spans="1:5" ht="15">
      <c r="A24" s="71" t="s">
        <v>97</v>
      </c>
      <c r="B24" s="138">
        <f>B15+B20</f>
        <v>-161500</v>
      </c>
      <c r="C24" s="165"/>
      <c r="D24" s="165"/>
      <c r="E24" s="165">
        <f>SUM(B24:D24)</f>
        <v>-161500</v>
      </c>
    </row>
    <row r="25" spans="1:5" ht="14.25">
      <c r="A25" s="151" t="s">
        <v>98</v>
      </c>
      <c r="B25" s="177">
        <f>SUM(B23:B24)</f>
        <v>89000</v>
      </c>
      <c r="C25" s="178">
        <f>SUM(C23:C24)</f>
        <v>5000</v>
      </c>
      <c r="D25" s="179">
        <v>0</v>
      </c>
      <c r="E25" s="178">
        <f>E23+E24</f>
        <v>94000</v>
      </c>
    </row>
    <row r="26" ht="14.25">
      <c r="E26" s="176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H18" sqref="H18"/>
    </sheetView>
  </sheetViews>
  <sheetFormatPr defaultColWidth="9.140625" defaultRowHeight="12.75"/>
  <cols>
    <col min="1" max="1" width="25.28125" style="19" customWidth="1"/>
    <col min="2" max="2" width="10.421875" style="19" customWidth="1"/>
    <col min="3" max="3" width="12.421875" style="19" customWidth="1"/>
    <col min="4" max="16384" width="9.140625" style="19" customWidth="1"/>
  </cols>
  <sheetData>
    <row r="1" spans="1:3" ht="14.25">
      <c r="A1" s="29" t="s">
        <v>103</v>
      </c>
      <c r="B1" s="204" t="s">
        <v>104</v>
      </c>
      <c r="C1" s="204"/>
    </row>
    <row r="2" ht="15">
      <c r="A2" s="31"/>
    </row>
    <row r="3" ht="15">
      <c r="A3" s="31" t="s">
        <v>105</v>
      </c>
    </row>
    <row r="4" spans="1:4" ht="45">
      <c r="A4" s="31"/>
      <c r="B4" s="67" t="s">
        <v>95</v>
      </c>
      <c r="C4" s="67" t="s">
        <v>106</v>
      </c>
      <c r="D4" s="78" t="s">
        <v>44</v>
      </c>
    </row>
    <row r="5" spans="1:4" ht="15">
      <c r="A5" s="46" t="s">
        <v>403</v>
      </c>
      <c r="B5" s="56"/>
      <c r="C5" s="56"/>
      <c r="D5" s="69"/>
    </row>
    <row r="6" spans="1:4" ht="14.25">
      <c r="A6" s="46" t="s">
        <v>96</v>
      </c>
      <c r="B6" s="50">
        <v>100000</v>
      </c>
      <c r="C6" s="50">
        <v>50000</v>
      </c>
      <c r="D6" s="50">
        <f>SUM(B6:C6)</f>
        <v>150000</v>
      </c>
    </row>
    <row r="7" spans="1:4" ht="15">
      <c r="A7" s="71" t="s">
        <v>97</v>
      </c>
      <c r="B7" s="48">
        <v>-15000</v>
      </c>
      <c r="C7" s="48">
        <v>-8000</v>
      </c>
      <c r="D7" s="48">
        <f>SUM(B7:C7)</f>
        <v>-23000</v>
      </c>
    </row>
    <row r="8" spans="1:4" ht="14.25">
      <c r="A8" s="73" t="s">
        <v>98</v>
      </c>
      <c r="B8" s="50">
        <f>SUM(B6:B7)</f>
        <v>85000</v>
      </c>
      <c r="C8" s="50">
        <f>SUM(C6:C7)</f>
        <v>42000</v>
      </c>
      <c r="D8" s="50">
        <f>SUM(D6:D7)</f>
        <v>127000</v>
      </c>
    </row>
    <row r="9" spans="1:4" ht="15">
      <c r="A9" s="31"/>
      <c r="B9" s="31"/>
      <c r="C9" s="31"/>
      <c r="D9" s="31"/>
    </row>
    <row r="10" spans="1:4" ht="15">
      <c r="A10" s="46" t="s">
        <v>415</v>
      </c>
      <c r="B10" s="31"/>
      <c r="C10" s="31"/>
      <c r="D10" s="31"/>
    </row>
    <row r="11" spans="1:4" ht="14.25">
      <c r="A11" s="46" t="s">
        <v>96</v>
      </c>
      <c r="B11" s="50">
        <v>200000</v>
      </c>
      <c r="C11" s="50">
        <v>50000</v>
      </c>
      <c r="D11" s="50">
        <f>SUM(B11:C11)</f>
        <v>250000</v>
      </c>
    </row>
    <row r="12" spans="1:4" ht="15">
      <c r="A12" s="71" t="s">
        <v>97</v>
      </c>
      <c r="B12" s="48">
        <v>-40000</v>
      </c>
      <c r="C12" s="48">
        <v>-18000</v>
      </c>
      <c r="D12" s="48">
        <f>SUM(B12:C12)</f>
        <v>-58000</v>
      </c>
    </row>
    <row r="13" spans="1:4" ht="14.25">
      <c r="A13" s="73" t="s">
        <v>98</v>
      </c>
      <c r="B13" s="50">
        <f>SUM(B11:B12)</f>
        <v>160000</v>
      </c>
      <c r="C13" s="50">
        <f>SUM(C11:C12)</f>
        <v>32000</v>
      </c>
      <c r="D13" s="50">
        <f>SUM(D11:D12)</f>
        <v>192000</v>
      </c>
    </row>
    <row r="16" ht="15">
      <c r="A16" s="31"/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C26" sqref="C26"/>
    </sheetView>
  </sheetViews>
  <sheetFormatPr defaultColWidth="9.140625" defaultRowHeight="12.75"/>
  <cols>
    <col min="1" max="1" width="40.421875" style="19" customWidth="1"/>
    <col min="2" max="2" width="13.28125" style="19" customWidth="1"/>
    <col min="3" max="3" width="11.7109375" style="19" customWidth="1"/>
    <col min="4" max="16384" width="9.140625" style="19" customWidth="1"/>
  </cols>
  <sheetData>
    <row r="1" spans="1:2" ht="14.25">
      <c r="A1" s="29" t="s">
        <v>107</v>
      </c>
      <c r="B1" s="29" t="s">
        <v>108</v>
      </c>
    </row>
    <row r="2" ht="15">
      <c r="A2" s="31"/>
    </row>
    <row r="3" ht="15">
      <c r="A3" s="31" t="s">
        <v>373</v>
      </c>
    </row>
    <row r="4" ht="15">
      <c r="A4" s="31"/>
    </row>
    <row r="5" spans="1:2" ht="30">
      <c r="A5" s="31"/>
      <c r="B5" s="67" t="s">
        <v>95</v>
      </c>
    </row>
    <row r="6" spans="1:2" ht="15">
      <c r="A6" s="46" t="s">
        <v>403</v>
      </c>
      <c r="B6" s="56"/>
    </row>
    <row r="7" spans="1:2" ht="15">
      <c r="A7" s="46" t="s">
        <v>96</v>
      </c>
      <c r="B7" s="48">
        <v>50000</v>
      </c>
    </row>
    <row r="8" spans="1:2" ht="15">
      <c r="A8" s="71" t="s">
        <v>97</v>
      </c>
      <c r="B8" s="48">
        <v>-30000</v>
      </c>
    </row>
    <row r="9" spans="1:2" ht="15">
      <c r="A9" s="73" t="s">
        <v>98</v>
      </c>
      <c r="B9" s="48">
        <f>SUM(B7:B8)</f>
        <v>20000</v>
      </c>
    </row>
    <row r="10" spans="1:2" ht="15">
      <c r="A10" s="31"/>
      <c r="B10" s="31"/>
    </row>
    <row r="11" spans="1:2" ht="15">
      <c r="A11" s="46" t="s">
        <v>415</v>
      </c>
      <c r="B11" s="31"/>
    </row>
    <row r="12" spans="1:2" ht="15">
      <c r="A12" s="46" t="s">
        <v>96</v>
      </c>
      <c r="B12" s="48">
        <v>80000</v>
      </c>
    </row>
    <row r="13" spans="1:2" ht="15">
      <c r="A13" s="71" t="s">
        <v>97</v>
      </c>
      <c r="B13" s="48">
        <v>-45000</v>
      </c>
    </row>
    <row r="14" spans="1:2" ht="15">
      <c r="A14" s="73" t="s">
        <v>98</v>
      </c>
      <c r="B14" s="48">
        <f>SUM(B12:B13)</f>
        <v>35000</v>
      </c>
    </row>
    <row r="18" spans="1:3" ht="15">
      <c r="A18" s="31"/>
      <c r="B18" s="13">
        <v>39813</v>
      </c>
      <c r="C18" s="13">
        <v>39447</v>
      </c>
    </row>
    <row r="19" spans="1:3" ht="15">
      <c r="A19" s="31" t="s">
        <v>318</v>
      </c>
      <c r="B19" s="48">
        <v>25000</v>
      </c>
      <c r="C19" s="48">
        <v>20000</v>
      </c>
    </row>
    <row r="20" spans="1:3" ht="30">
      <c r="A20" s="51" t="s">
        <v>109</v>
      </c>
      <c r="B20" s="48">
        <v>250000</v>
      </c>
      <c r="C20" s="48">
        <v>275000</v>
      </c>
    </row>
    <row r="21" spans="1:3" ht="15">
      <c r="A21" s="89" t="s">
        <v>110</v>
      </c>
      <c r="B21" s="83">
        <v>25000</v>
      </c>
      <c r="C21" s="83">
        <v>25000</v>
      </c>
    </row>
    <row r="22" spans="1:3" ht="15">
      <c r="A22" s="89" t="s">
        <v>111</v>
      </c>
      <c r="B22" s="83">
        <v>150000</v>
      </c>
      <c r="C22" s="83">
        <v>150000</v>
      </c>
    </row>
    <row r="23" spans="1:3" ht="15">
      <c r="A23" s="89" t="s">
        <v>112</v>
      </c>
      <c r="B23" s="83">
        <v>75000</v>
      </c>
      <c r="C23" s="83">
        <v>100000</v>
      </c>
    </row>
    <row r="25" spans="1:3" ht="15">
      <c r="A25" s="31"/>
      <c r="B25" s="13">
        <v>39813</v>
      </c>
      <c r="C25" s="13">
        <v>39447</v>
      </c>
    </row>
    <row r="26" spans="1:3" ht="15">
      <c r="A26" s="31" t="s">
        <v>113</v>
      </c>
      <c r="B26" s="48">
        <v>300000</v>
      </c>
      <c r="C26" s="48">
        <v>325000</v>
      </c>
    </row>
    <row r="27" spans="1:3" ht="30">
      <c r="A27" s="51" t="s">
        <v>114</v>
      </c>
      <c r="B27" s="48">
        <v>180000</v>
      </c>
      <c r="C27" s="48">
        <v>165000</v>
      </c>
    </row>
    <row r="28" spans="1:3" ht="15">
      <c r="A28" s="89" t="s">
        <v>110</v>
      </c>
      <c r="B28" s="83">
        <v>30000</v>
      </c>
      <c r="C28" s="83">
        <v>28000</v>
      </c>
    </row>
    <row r="29" spans="1:3" ht="15">
      <c r="A29" s="89" t="s">
        <v>111</v>
      </c>
      <c r="B29" s="83">
        <v>150000</v>
      </c>
      <c r="C29" s="83">
        <v>110000</v>
      </c>
    </row>
    <row r="30" spans="1:3" ht="15">
      <c r="A30" s="89" t="s">
        <v>112</v>
      </c>
      <c r="B30" s="90">
        <v>0</v>
      </c>
      <c r="C30" s="90">
        <v>27000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E5" sqref="E5"/>
    </sheetView>
  </sheetViews>
  <sheetFormatPr defaultColWidth="9.140625" defaultRowHeight="12.75"/>
  <cols>
    <col min="1" max="1" width="4.00390625" style="19" customWidth="1"/>
    <col min="2" max="2" width="46.421875" style="19" customWidth="1"/>
    <col min="3" max="3" width="9.140625" style="19" customWidth="1"/>
    <col min="4" max="4" width="11.28125" style="19" bestFit="1" customWidth="1"/>
    <col min="5" max="5" width="10.140625" style="19" bestFit="1" customWidth="1"/>
    <col min="6" max="16384" width="9.140625" style="19" customWidth="1"/>
  </cols>
  <sheetData>
    <row r="1" spans="1:2" ht="15">
      <c r="A1" s="194" t="s">
        <v>294</v>
      </c>
      <c r="B1" s="194"/>
    </row>
    <row r="2" ht="15">
      <c r="A2" s="31" t="s">
        <v>191</v>
      </c>
    </row>
    <row r="3" ht="15">
      <c r="A3" s="31"/>
    </row>
    <row r="4" spans="1:5" ht="15">
      <c r="A4" s="69"/>
      <c r="B4" s="69"/>
      <c r="C4" s="112" t="s">
        <v>192</v>
      </c>
      <c r="D4" s="74">
        <v>2008</v>
      </c>
      <c r="E4" s="74">
        <v>2007</v>
      </c>
    </row>
    <row r="5" spans="1:5" ht="15">
      <c r="A5" s="69"/>
      <c r="B5" s="69"/>
      <c r="C5" s="114"/>
      <c r="D5" s="69"/>
      <c r="E5" s="69"/>
    </row>
    <row r="6" spans="1:5" ht="15">
      <c r="A6" s="192" t="s">
        <v>134</v>
      </c>
      <c r="B6" s="192"/>
      <c r="C6" s="107">
        <v>20</v>
      </c>
      <c r="D6" s="22">
        <v>7485000</v>
      </c>
      <c r="E6" s="22">
        <v>7075000</v>
      </c>
    </row>
    <row r="7" spans="1:5" ht="15">
      <c r="A7" s="192" t="s">
        <v>141</v>
      </c>
      <c r="B7" s="192"/>
      <c r="C7" s="107">
        <v>21</v>
      </c>
      <c r="D7" s="22">
        <v>684000</v>
      </c>
      <c r="E7" s="22">
        <v>382600</v>
      </c>
    </row>
    <row r="8" spans="1:5" ht="15">
      <c r="A8" s="31"/>
      <c r="B8" s="31"/>
      <c r="C8" s="114"/>
      <c r="D8" s="69"/>
      <c r="E8" s="69"/>
    </row>
    <row r="9" spans="1:5" ht="15">
      <c r="A9" s="192" t="s">
        <v>218</v>
      </c>
      <c r="B9" s="192"/>
      <c r="C9" s="114"/>
      <c r="D9" s="22">
        <f>22500+106300</f>
        <v>128800</v>
      </c>
      <c r="E9" s="22">
        <v>34800</v>
      </c>
    </row>
    <row r="10" spans="1:5" ht="15">
      <c r="A10" s="192" t="s">
        <v>299</v>
      </c>
      <c r="B10" s="192"/>
      <c r="C10" s="114"/>
      <c r="D10" s="22">
        <v>15000</v>
      </c>
      <c r="E10" s="72">
        <v>0</v>
      </c>
    </row>
    <row r="11" spans="1:5" ht="15">
      <c r="A11" s="192" t="s">
        <v>147</v>
      </c>
      <c r="B11" s="192"/>
      <c r="C11" s="107">
        <v>22</v>
      </c>
      <c r="D11" s="22">
        <v>-3959500</v>
      </c>
      <c r="E11" s="22">
        <v>-3562900</v>
      </c>
    </row>
    <row r="12" spans="1:5" ht="15">
      <c r="A12" s="192" t="s">
        <v>339</v>
      </c>
      <c r="B12" s="192"/>
      <c r="C12" s="114"/>
      <c r="D12" s="22">
        <f>-1909000-30000-106300</f>
        <v>-2045300</v>
      </c>
      <c r="E12" s="22">
        <v>-1676000</v>
      </c>
    </row>
    <row r="13" spans="1:5" ht="15">
      <c r="A13" s="192" t="s">
        <v>219</v>
      </c>
      <c r="B13" s="192"/>
      <c r="C13" s="114"/>
      <c r="D13" s="69"/>
      <c r="E13" s="69"/>
    </row>
    <row r="14" spans="1:5" ht="15">
      <c r="A14" s="69"/>
      <c r="B14" s="71" t="s">
        <v>220</v>
      </c>
      <c r="C14" s="114"/>
      <c r="D14" s="22">
        <v>-1000000</v>
      </c>
      <c r="E14" s="22">
        <v>-800000</v>
      </c>
    </row>
    <row r="15" spans="1:5" ht="15">
      <c r="A15" s="69"/>
      <c r="B15" s="71" t="s">
        <v>320</v>
      </c>
      <c r="C15" s="114"/>
      <c r="D15" s="22">
        <f>-(330000+20000)</f>
        <v>-350000</v>
      </c>
      <c r="E15" s="22">
        <f>-(264000+16000)</f>
        <v>-280000</v>
      </c>
    </row>
    <row r="16" spans="1:5" ht="15">
      <c r="A16" s="192" t="s">
        <v>221</v>
      </c>
      <c r="B16" s="192"/>
      <c r="C16" s="114"/>
      <c r="D16" s="22">
        <f>SUM(D14:D15)</f>
        <v>-1350000</v>
      </c>
      <c r="E16" s="22">
        <f>SUM(E14:E15)</f>
        <v>-1080000</v>
      </c>
    </row>
    <row r="17" spans="1:5" ht="15">
      <c r="A17" s="192" t="s">
        <v>222</v>
      </c>
      <c r="B17" s="192"/>
      <c r="C17" s="107">
        <v>11.12</v>
      </c>
      <c r="D17" s="22">
        <v>-143000</v>
      </c>
      <c r="E17" s="22">
        <v>-75000</v>
      </c>
    </row>
    <row r="18" spans="1:5" ht="15">
      <c r="A18" s="192" t="s">
        <v>223</v>
      </c>
      <c r="B18" s="192"/>
      <c r="C18" s="114">
        <v>21</v>
      </c>
      <c r="D18" s="22">
        <v>-31000</v>
      </c>
      <c r="E18" s="22">
        <v>-1800</v>
      </c>
    </row>
    <row r="19" spans="1:5" ht="15">
      <c r="A19" s="31"/>
      <c r="B19" s="31"/>
      <c r="C19" s="114"/>
      <c r="D19" s="69"/>
      <c r="E19" s="69"/>
    </row>
    <row r="20" spans="1:5" ht="15">
      <c r="A20" s="193" t="s">
        <v>295</v>
      </c>
      <c r="B20" s="193"/>
      <c r="C20" s="114"/>
      <c r="D20" s="55">
        <f>SUM(D6:D12)+D16+D17+D18</f>
        <v>784000</v>
      </c>
      <c r="E20" s="55">
        <f>SUM(E6:E12)+E16+E17+E18</f>
        <v>1096700</v>
      </c>
    </row>
    <row r="21" spans="1:5" ht="15">
      <c r="A21" s="69"/>
      <c r="B21" s="69"/>
      <c r="C21" s="114"/>
      <c r="D21" s="69"/>
      <c r="E21" s="69"/>
    </row>
    <row r="22" spans="1:5" ht="15">
      <c r="A22" s="193" t="s">
        <v>224</v>
      </c>
      <c r="B22" s="193"/>
      <c r="C22" s="114"/>
      <c r="D22" s="69"/>
      <c r="E22" s="69"/>
    </row>
    <row r="23" spans="1:5" ht="15">
      <c r="A23" s="192" t="s">
        <v>340</v>
      </c>
      <c r="B23" s="192"/>
      <c r="C23" s="107">
        <v>8</v>
      </c>
      <c r="D23" s="22">
        <v>-6000</v>
      </c>
      <c r="E23" s="22">
        <v>-28000</v>
      </c>
    </row>
    <row r="24" spans="1:5" ht="15">
      <c r="A24" s="192" t="s">
        <v>341</v>
      </c>
      <c r="B24" s="192"/>
      <c r="C24" s="114" t="s">
        <v>179</v>
      </c>
      <c r="D24" s="72">
        <v>0</v>
      </c>
      <c r="E24" s="22">
        <v>-2000</v>
      </c>
    </row>
    <row r="25" spans="1:5" ht="15">
      <c r="A25" s="71" t="s">
        <v>342</v>
      </c>
      <c r="B25" s="71"/>
      <c r="C25" s="114"/>
      <c r="D25" s="72"/>
      <c r="E25" s="22"/>
    </row>
    <row r="26" spans="1:5" ht="15">
      <c r="A26" s="192" t="s">
        <v>225</v>
      </c>
      <c r="B26" s="192"/>
      <c r="C26" s="114"/>
      <c r="D26" s="22">
        <v>-210000</v>
      </c>
      <c r="E26" s="22">
        <v>-140000</v>
      </c>
    </row>
    <row r="27" spans="1:5" ht="15">
      <c r="A27" s="192" t="s">
        <v>226</v>
      </c>
      <c r="B27" s="192"/>
      <c r="C27" s="114"/>
      <c r="D27" s="22">
        <f>-62000-72000</f>
        <v>-134000</v>
      </c>
      <c r="E27" s="22">
        <v>-6000</v>
      </c>
    </row>
    <row r="28" spans="1:5" ht="15">
      <c r="A28" s="192" t="s">
        <v>227</v>
      </c>
      <c r="B28" s="192"/>
      <c r="C28" s="114"/>
      <c r="D28" s="22">
        <v>20500</v>
      </c>
      <c r="E28" s="22">
        <v>21000</v>
      </c>
    </row>
    <row r="29" spans="1:5" ht="15">
      <c r="A29" s="193" t="s">
        <v>228</v>
      </c>
      <c r="B29" s="193"/>
      <c r="C29" s="114"/>
      <c r="D29" s="55">
        <f>SUM(D23:D28)</f>
        <v>-329500</v>
      </c>
      <c r="E29" s="55">
        <f>SUM(E23:E28)</f>
        <v>-155000</v>
      </c>
    </row>
    <row r="30" spans="1:5" ht="15">
      <c r="A30" s="31"/>
      <c r="B30" s="31"/>
      <c r="C30" s="114"/>
      <c r="D30" s="69"/>
      <c r="E30" s="69"/>
    </row>
    <row r="31" spans="1:5" ht="15">
      <c r="A31" s="193" t="s">
        <v>296</v>
      </c>
      <c r="B31" s="193"/>
      <c r="C31" s="114"/>
      <c r="D31" s="55">
        <f>D20+D29</f>
        <v>454500</v>
      </c>
      <c r="E31" s="55">
        <f>E20+E29</f>
        <v>941700</v>
      </c>
    </row>
    <row r="32" spans="1:5" ht="15">
      <c r="A32" s="31"/>
      <c r="B32" s="31"/>
      <c r="C32" s="114"/>
      <c r="D32" s="69"/>
      <c r="E32" s="69"/>
    </row>
    <row r="33" spans="1:5" ht="15">
      <c r="A33" s="192" t="s">
        <v>229</v>
      </c>
      <c r="B33" s="192"/>
      <c r="C33" s="114" t="s">
        <v>179</v>
      </c>
      <c r="D33" s="48">
        <f>-91000+72000</f>
        <v>-19000</v>
      </c>
      <c r="E33" s="48">
        <v>-16000</v>
      </c>
    </row>
    <row r="34" spans="1:5" ht="15">
      <c r="A34" s="31"/>
      <c r="B34" s="31"/>
      <c r="C34" s="114"/>
      <c r="D34" s="69"/>
      <c r="E34" s="69"/>
    </row>
    <row r="35" spans="1:5" ht="15">
      <c r="A35" s="193" t="s">
        <v>297</v>
      </c>
      <c r="B35" s="193"/>
      <c r="C35" s="114"/>
      <c r="D35" s="55">
        <f>D31+D33</f>
        <v>435500</v>
      </c>
      <c r="E35" s="55">
        <f>E31+E33</f>
        <v>925700</v>
      </c>
    </row>
    <row r="36" spans="2:5" ht="15">
      <c r="B36" s="31" t="s">
        <v>392</v>
      </c>
      <c r="C36" s="31"/>
      <c r="D36" s="31"/>
      <c r="E36" s="31"/>
    </row>
    <row r="37" spans="2:3" ht="15">
      <c r="B37" s="31" t="s">
        <v>346</v>
      </c>
      <c r="C37" s="31"/>
    </row>
    <row r="38" spans="2:5" ht="15">
      <c r="B38" s="31"/>
      <c r="C38" s="31"/>
      <c r="D38" s="31"/>
      <c r="E38" s="31"/>
    </row>
    <row r="41" spans="1:2" ht="15">
      <c r="A41" s="19" t="s">
        <v>343</v>
      </c>
      <c r="B41" s="31" t="s">
        <v>344</v>
      </c>
    </row>
  </sheetData>
  <mergeCells count="22">
    <mergeCell ref="A6:B6"/>
    <mergeCell ref="A7:B7"/>
    <mergeCell ref="A9:B9"/>
    <mergeCell ref="A10:B10"/>
    <mergeCell ref="A11:B11"/>
    <mergeCell ref="A12:B12"/>
    <mergeCell ref="A13:B13"/>
    <mergeCell ref="A16:B16"/>
    <mergeCell ref="A17:B17"/>
    <mergeCell ref="A18:B18"/>
    <mergeCell ref="A20:B20"/>
    <mergeCell ref="A22:B22"/>
    <mergeCell ref="A33:B33"/>
    <mergeCell ref="A35:B35"/>
    <mergeCell ref="A1:B1"/>
    <mergeCell ref="A27:B27"/>
    <mergeCell ref="A28:B28"/>
    <mergeCell ref="A29:B29"/>
    <mergeCell ref="A31:B31"/>
    <mergeCell ref="A23:B23"/>
    <mergeCell ref="A24:B24"/>
    <mergeCell ref="A26:B2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24.8515625" style="19" customWidth="1"/>
    <col min="2" max="2" width="12.00390625" style="19" customWidth="1"/>
    <col min="3" max="3" width="9.140625" style="19" customWidth="1"/>
    <col min="4" max="4" width="9.421875" style="19" bestFit="1" customWidth="1"/>
    <col min="5" max="16384" width="9.140625" style="19" customWidth="1"/>
  </cols>
  <sheetData>
    <row r="1" spans="1:3" ht="14.25">
      <c r="A1" s="29" t="s">
        <v>115</v>
      </c>
      <c r="B1" s="204" t="s">
        <v>325</v>
      </c>
      <c r="C1" s="204"/>
    </row>
    <row r="2" ht="15">
      <c r="A2" s="31"/>
    </row>
    <row r="3" spans="1:6" ht="15">
      <c r="A3" s="31"/>
      <c r="B3" s="31"/>
      <c r="C3" s="208" t="s">
        <v>78</v>
      </c>
      <c r="D3" s="208"/>
      <c r="E3" s="208"/>
      <c r="F3" s="69"/>
    </row>
    <row r="4" spans="1:6" ht="45">
      <c r="A4" s="31"/>
      <c r="B4" s="133" t="s">
        <v>418</v>
      </c>
      <c r="C4" s="154" t="s">
        <v>79</v>
      </c>
      <c r="D4" s="154" t="s">
        <v>425</v>
      </c>
      <c r="E4" s="154" t="s">
        <v>81</v>
      </c>
      <c r="F4" s="133" t="s">
        <v>82</v>
      </c>
    </row>
    <row r="5" spans="1:6" ht="15">
      <c r="A5" s="31" t="s">
        <v>9</v>
      </c>
      <c r="B5" s="48">
        <v>76000</v>
      </c>
      <c r="C5" s="83">
        <v>76000</v>
      </c>
      <c r="D5" s="90">
        <v>0</v>
      </c>
      <c r="E5" s="90">
        <v>0</v>
      </c>
      <c r="F5" s="88">
        <v>0.06</v>
      </c>
    </row>
    <row r="6" spans="1:6" ht="15">
      <c r="A6" s="31" t="s">
        <v>116</v>
      </c>
      <c r="B6" s="48">
        <f>B7+B8</f>
        <v>401000</v>
      </c>
      <c r="C6" s="83">
        <f>C7+C8</f>
        <v>109000</v>
      </c>
      <c r="D6" s="83">
        <f>D7+D8</f>
        <v>292000</v>
      </c>
      <c r="E6" s="83">
        <f>E7+E8</f>
        <v>0</v>
      </c>
      <c r="F6" s="69"/>
    </row>
    <row r="7" spans="1:6" ht="15">
      <c r="A7" s="89" t="s">
        <v>374</v>
      </c>
      <c r="B7" s="83">
        <v>346000</v>
      </c>
      <c r="C7" s="83">
        <v>54000</v>
      </c>
      <c r="D7" s="83">
        <v>292000</v>
      </c>
      <c r="E7" s="90">
        <v>0</v>
      </c>
      <c r="F7" s="69" t="s">
        <v>117</v>
      </c>
    </row>
    <row r="8" spans="1:6" ht="15">
      <c r="A8" s="89" t="s">
        <v>118</v>
      </c>
      <c r="B8" s="83">
        <v>55000</v>
      </c>
      <c r="C8" s="83">
        <v>55000</v>
      </c>
      <c r="D8" s="90">
        <v>0</v>
      </c>
      <c r="E8" s="90">
        <v>0</v>
      </c>
      <c r="F8" s="69" t="s">
        <v>119</v>
      </c>
    </row>
    <row r="9" spans="1:6" ht="15">
      <c r="A9" s="31" t="s">
        <v>120</v>
      </c>
      <c r="B9" s="48">
        <v>183000</v>
      </c>
      <c r="C9" s="83">
        <v>41000</v>
      </c>
      <c r="D9" s="83">
        <v>127000</v>
      </c>
      <c r="E9" s="83">
        <v>15000</v>
      </c>
      <c r="F9" s="69" t="s">
        <v>121</v>
      </c>
    </row>
    <row r="10" spans="1:6" ht="15">
      <c r="A10" s="31" t="s">
        <v>122</v>
      </c>
      <c r="B10" s="49">
        <v>41000</v>
      </c>
      <c r="C10" s="84">
        <v>41000</v>
      </c>
      <c r="D10" s="91">
        <v>0</v>
      </c>
      <c r="E10" s="91">
        <v>0</v>
      </c>
      <c r="F10" s="85">
        <v>0.07</v>
      </c>
    </row>
    <row r="11" spans="1:8" ht="15">
      <c r="A11" s="46" t="s">
        <v>84</v>
      </c>
      <c r="B11" s="50">
        <f>B5+B6+B9+B10</f>
        <v>701000</v>
      </c>
      <c r="C11" s="50">
        <f>C5+C6+C9+C10</f>
        <v>267000</v>
      </c>
      <c r="D11" s="50">
        <f>D5+D6+D9+D10</f>
        <v>419000</v>
      </c>
      <c r="E11" s="50">
        <f>E5+E6+E9+E10</f>
        <v>15000</v>
      </c>
      <c r="F11" s="69"/>
      <c r="H11" s="103"/>
    </row>
    <row r="12" spans="1:2" ht="15">
      <c r="A12" s="31" t="s">
        <v>389</v>
      </c>
      <c r="B12" s="48">
        <f>D11+E11</f>
        <v>434000</v>
      </c>
    </row>
    <row r="15" spans="1:6" ht="15">
      <c r="A15" s="31"/>
      <c r="B15" s="31"/>
      <c r="C15" s="208" t="s">
        <v>78</v>
      </c>
      <c r="D15" s="208"/>
      <c r="E15" s="208"/>
      <c r="F15" s="69"/>
    </row>
    <row r="16" spans="1:6" ht="45">
      <c r="A16" s="31"/>
      <c r="B16" s="133" t="s">
        <v>404</v>
      </c>
      <c r="C16" s="154" t="s">
        <v>79</v>
      </c>
      <c r="D16" s="154" t="s">
        <v>425</v>
      </c>
      <c r="E16" s="154" t="s">
        <v>81</v>
      </c>
      <c r="F16" s="133" t="s">
        <v>82</v>
      </c>
    </row>
    <row r="17" spans="1:6" ht="15">
      <c r="A17" s="31" t="s">
        <v>116</v>
      </c>
      <c r="B17" s="48">
        <f>B18+B19</f>
        <v>451000</v>
      </c>
      <c r="C17" s="83">
        <f>C18+C19</f>
        <v>111000</v>
      </c>
      <c r="D17" s="83">
        <f>D18+D19</f>
        <v>305000</v>
      </c>
      <c r="E17" s="83">
        <f>E18+E19</f>
        <v>35000</v>
      </c>
      <c r="F17" s="69"/>
    </row>
    <row r="18" spans="1:6" ht="15">
      <c r="A18" s="89" t="s">
        <v>374</v>
      </c>
      <c r="B18" s="83">
        <v>333000</v>
      </c>
      <c r="C18" s="83">
        <v>48000</v>
      </c>
      <c r="D18" s="83">
        <v>250000</v>
      </c>
      <c r="E18" s="83">
        <v>35000</v>
      </c>
      <c r="F18" s="88">
        <v>0.06</v>
      </c>
    </row>
    <row r="19" spans="1:6" ht="15">
      <c r="A19" s="89" t="s">
        <v>118</v>
      </c>
      <c r="B19" s="83">
        <v>118000</v>
      </c>
      <c r="C19" s="83">
        <v>63000</v>
      </c>
      <c r="D19" s="83">
        <v>55000</v>
      </c>
      <c r="E19" s="90">
        <v>0</v>
      </c>
      <c r="F19" s="69" t="s">
        <v>123</v>
      </c>
    </row>
    <row r="20" spans="1:6" ht="15">
      <c r="A20" s="31" t="s">
        <v>120</v>
      </c>
      <c r="B20" s="48">
        <v>223000</v>
      </c>
      <c r="C20" s="83">
        <v>48000</v>
      </c>
      <c r="D20" s="83">
        <v>131000</v>
      </c>
      <c r="E20" s="83">
        <v>44000</v>
      </c>
      <c r="F20" s="69" t="s">
        <v>121</v>
      </c>
    </row>
    <row r="21" spans="1:6" ht="15">
      <c r="A21" s="31" t="s">
        <v>122</v>
      </c>
      <c r="B21" s="48">
        <v>23000</v>
      </c>
      <c r="C21" s="83">
        <v>23000</v>
      </c>
      <c r="D21" s="90">
        <v>0</v>
      </c>
      <c r="E21" s="90">
        <v>0</v>
      </c>
      <c r="F21" s="88">
        <v>0.09</v>
      </c>
    </row>
    <row r="22" spans="1:6" ht="15">
      <c r="A22" s="51" t="s">
        <v>124</v>
      </c>
      <c r="B22" s="49">
        <v>22000</v>
      </c>
      <c r="C22" s="84">
        <v>22000</v>
      </c>
      <c r="D22" s="91">
        <v>0</v>
      </c>
      <c r="E22" s="91">
        <v>0</v>
      </c>
      <c r="F22" s="85">
        <v>0</v>
      </c>
    </row>
    <row r="23" spans="1:8" ht="15">
      <c r="A23" s="46" t="s">
        <v>84</v>
      </c>
      <c r="B23" s="50">
        <f>B17+B20+B21+B22</f>
        <v>719000</v>
      </c>
      <c r="C23" s="87">
        <f>C17+C20+C21+C22</f>
        <v>204000</v>
      </c>
      <c r="D23" s="87">
        <f>D17+D20+D21+D22</f>
        <v>436000</v>
      </c>
      <c r="E23" s="87">
        <f>E17+E20+E21+E22</f>
        <v>79000</v>
      </c>
      <c r="F23" s="69"/>
      <c r="H23" s="103"/>
    </row>
    <row r="24" spans="1:2" ht="15">
      <c r="A24" s="31" t="s">
        <v>389</v>
      </c>
      <c r="B24" s="48">
        <f>D23+E23</f>
        <v>515000</v>
      </c>
    </row>
    <row r="26" ht="15">
      <c r="A26" s="31"/>
    </row>
  </sheetData>
  <mergeCells count="3">
    <mergeCell ref="C3:E3"/>
    <mergeCell ref="C15:E15"/>
    <mergeCell ref="B1:C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C4" sqref="C4"/>
    </sheetView>
  </sheetViews>
  <sheetFormatPr defaultColWidth="9.140625" defaultRowHeight="12.75"/>
  <cols>
    <col min="1" max="1" width="55.28125" style="19" customWidth="1"/>
    <col min="2" max="2" width="11.00390625" style="19" customWidth="1"/>
    <col min="3" max="3" width="11.140625" style="19" customWidth="1"/>
    <col min="4" max="4" width="9.140625" style="19" customWidth="1"/>
    <col min="5" max="5" width="11.00390625" style="19" customWidth="1"/>
    <col min="6" max="16384" width="9.140625" style="19" customWidth="1"/>
  </cols>
  <sheetData>
    <row r="1" spans="1:5" ht="14.25">
      <c r="A1" s="29" t="s">
        <v>125</v>
      </c>
      <c r="B1" s="204" t="s">
        <v>332</v>
      </c>
      <c r="C1" s="204"/>
      <c r="D1" s="204"/>
      <c r="E1" s="204"/>
    </row>
    <row r="2" ht="15">
      <c r="A2" s="31"/>
    </row>
    <row r="3" spans="1:3" ht="15">
      <c r="A3" s="31"/>
      <c r="B3" s="13">
        <v>39813</v>
      </c>
      <c r="C3" s="13">
        <v>39447</v>
      </c>
    </row>
    <row r="4" spans="1:3" ht="15">
      <c r="A4" s="31" t="s">
        <v>375</v>
      </c>
      <c r="B4" s="14">
        <f>1045600-70000</f>
        <v>975600</v>
      </c>
      <c r="C4" s="14">
        <f>1780700-144000</f>
        <v>1636700</v>
      </c>
    </row>
    <row r="5" spans="1:3" ht="15">
      <c r="A5" s="31" t="s">
        <v>128</v>
      </c>
      <c r="B5" s="48">
        <v>132000</v>
      </c>
      <c r="C5" s="48">
        <v>131000</v>
      </c>
    </row>
    <row r="6" spans="1:3" ht="15">
      <c r="A6" s="31" t="s">
        <v>381</v>
      </c>
      <c r="B6" s="48">
        <f>22000+70000</f>
        <v>92000</v>
      </c>
      <c r="C6" s="48">
        <f>28000+144000</f>
        <v>172000</v>
      </c>
    </row>
    <row r="7" spans="1:3" ht="15">
      <c r="A7" s="31" t="s">
        <v>380</v>
      </c>
      <c r="B7" s="48">
        <v>271000</v>
      </c>
      <c r="C7" s="48">
        <v>176000</v>
      </c>
    </row>
    <row r="8" spans="1:3" ht="15">
      <c r="A8" s="31" t="s">
        <v>376</v>
      </c>
      <c r="B8" s="49">
        <v>40000</v>
      </c>
      <c r="C8" s="49">
        <v>0</v>
      </c>
    </row>
    <row r="9" spans="1:3" ht="14.25">
      <c r="A9" s="46" t="s">
        <v>377</v>
      </c>
      <c r="B9" s="50">
        <f>SUM(B4:B8)</f>
        <v>1510600</v>
      </c>
      <c r="C9" s="50">
        <f>SUM(C4:C8)</f>
        <v>2115700</v>
      </c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H18" sqref="H18"/>
    </sheetView>
  </sheetViews>
  <sheetFormatPr defaultColWidth="9.140625" defaultRowHeight="12.75"/>
  <cols>
    <col min="1" max="1" width="36.28125" style="19" customWidth="1"/>
    <col min="2" max="2" width="12.00390625" style="19" customWidth="1"/>
    <col min="3" max="16384" width="9.140625" style="19" customWidth="1"/>
  </cols>
  <sheetData>
    <row r="1" spans="1:3" ht="14.25">
      <c r="A1" s="29" t="s">
        <v>127</v>
      </c>
      <c r="B1" s="204" t="s">
        <v>126</v>
      </c>
      <c r="C1" s="204"/>
    </row>
    <row r="2" ht="15">
      <c r="A2" s="31"/>
    </row>
    <row r="3" spans="1:5" ht="15">
      <c r="A3" s="31"/>
      <c r="B3" s="31"/>
      <c r="C3" s="208" t="s">
        <v>78</v>
      </c>
      <c r="D3" s="208"/>
      <c r="E3" s="208"/>
    </row>
    <row r="4" spans="1:5" ht="45">
      <c r="A4" s="31"/>
      <c r="B4" s="133" t="s">
        <v>418</v>
      </c>
      <c r="C4" s="154" t="s">
        <v>79</v>
      </c>
      <c r="D4" s="154" t="s">
        <v>80</v>
      </c>
      <c r="E4" s="154" t="s">
        <v>81</v>
      </c>
    </row>
    <row r="5" spans="1:5" ht="15">
      <c r="A5" s="31" t="s">
        <v>437</v>
      </c>
      <c r="B5" s="48">
        <f>SUM(C5:E5)</f>
        <v>299000</v>
      </c>
      <c r="C5" s="83">
        <f>13000+252000</f>
        <v>265000</v>
      </c>
      <c r="D5" s="90">
        <f>7000+27000</f>
        <v>34000</v>
      </c>
      <c r="E5" s="90">
        <v>0</v>
      </c>
    </row>
    <row r="6" spans="1:5" ht="15">
      <c r="A6" s="31" t="s">
        <v>126</v>
      </c>
      <c r="B6" s="49">
        <f>SUM(C6:E6)</f>
        <v>6000</v>
      </c>
      <c r="C6" s="91">
        <v>6000</v>
      </c>
      <c r="D6" s="91">
        <v>0</v>
      </c>
      <c r="E6" s="91">
        <v>0</v>
      </c>
    </row>
    <row r="7" spans="1:5" ht="15">
      <c r="A7" s="86" t="s">
        <v>84</v>
      </c>
      <c r="B7" s="50">
        <f>SUM(B5:B6)</f>
        <v>305000</v>
      </c>
      <c r="C7" s="87">
        <f>SUM(C5:C6)</f>
        <v>271000</v>
      </c>
      <c r="D7" s="87">
        <f>SUM(D5:D6)</f>
        <v>34000</v>
      </c>
      <c r="E7" s="87">
        <f>SUM(E5:E6)</f>
        <v>0</v>
      </c>
    </row>
    <row r="8" spans="1:2" ht="15">
      <c r="A8" s="31" t="s">
        <v>390</v>
      </c>
      <c r="B8" s="14">
        <f>D7+E7</f>
        <v>34000</v>
      </c>
    </row>
    <row r="11" spans="1:5" ht="15">
      <c r="A11" s="31"/>
      <c r="B11" s="31"/>
      <c r="C11" s="208" t="s">
        <v>78</v>
      </c>
      <c r="D11" s="208"/>
      <c r="E11" s="208"/>
    </row>
    <row r="12" spans="1:5" ht="45">
      <c r="A12" s="31"/>
      <c r="B12" s="133" t="s">
        <v>404</v>
      </c>
      <c r="C12" s="154" t="s">
        <v>79</v>
      </c>
      <c r="D12" s="154" t="s">
        <v>80</v>
      </c>
      <c r="E12" s="154" t="s">
        <v>81</v>
      </c>
    </row>
    <row r="13" spans="1:5" ht="15">
      <c r="A13" s="31" t="s">
        <v>437</v>
      </c>
      <c r="B13" s="48">
        <f>SUM(C13:E13)</f>
        <v>182000</v>
      </c>
      <c r="C13" s="90">
        <f>5000+166000</f>
        <v>171000</v>
      </c>
      <c r="D13" s="90">
        <v>11000</v>
      </c>
      <c r="E13" s="90">
        <v>0</v>
      </c>
    </row>
    <row r="14" spans="1:5" ht="15">
      <c r="A14" s="31" t="s">
        <v>126</v>
      </c>
      <c r="B14" s="49">
        <f>SUM(C14:E14)</f>
        <v>17000</v>
      </c>
      <c r="C14" s="91">
        <v>5000</v>
      </c>
      <c r="D14" s="91">
        <v>7000</v>
      </c>
      <c r="E14" s="91">
        <v>5000</v>
      </c>
    </row>
    <row r="15" spans="1:5" ht="15">
      <c r="A15" s="86" t="s">
        <v>84</v>
      </c>
      <c r="B15" s="50">
        <f>SUM(B13:B14)</f>
        <v>199000</v>
      </c>
      <c r="C15" s="87">
        <f>SUM(C13:C14)</f>
        <v>176000</v>
      </c>
      <c r="D15" s="87">
        <f>SUM(D13:D14)</f>
        <v>18000</v>
      </c>
      <c r="E15" s="87">
        <f>SUM(E13:E14)</f>
        <v>5000</v>
      </c>
    </row>
    <row r="16" spans="1:2" ht="15">
      <c r="A16" s="31" t="s">
        <v>390</v>
      </c>
      <c r="B16" s="14">
        <f>D15+E15</f>
        <v>23000</v>
      </c>
    </row>
  </sheetData>
  <mergeCells count="3">
    <mergeCell ref="C3:E3"/>
    <mergeCell ref="C11:E11"/>
    <mergeCell ref="B1:C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E8" sqref="E8"/>
    </sheetView>
  </sheetViews>
  <sheetFormatPr defaultColWidth="9.140625" defaultRowHeight="12.75"/>
  <sheetData>
    <row r="1" spans="1:3" ht="14.25">
      <c r="A1" s="29" t="s">
        <v>383</v>
      </c>
      <c r="B1" s="204" t="s">
        <v>382</v>
      </c>
      <c r="C1" s="204"/>
    </row>
    <row r="4" spans="1:10" ht="15">
      <c r="A4" s="31" t="s">
        <v>384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5">
      <c r="A5" s="31" t="s">
        <v>385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">
      <c r="A6" s="31" t="s">
        <v>386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5">
      <c r="A7" s="31" t="s">
        <v>423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15">
      <c r="A8" s="31" t="s">
        <v>424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5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ht="15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5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5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5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5">
      <c r="A14" s="31"/>
      <c r="B14" s="31"/>
      <c r="C14" s="31"/>
      <c r="D14" s="31"/>
      <c r="E14" s="31"/>
      <c r="F14" s="31"/>
      <c r="G14" s="31"/>
      <c r="H14" s="31"/>
      <c r="I14" s="31"/>
      <c r="J14" s="31"/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H17" sqref="H17"/>
    </sheetView>
  </sheetViews>
  <sheetFormatPr defaultColWidth="9.140625" defaultRowHeight="12.75"/>
  <cols>
    <col min="1" max="1" width="29.57421875" style="19" customWidth="1"/>
    <col min="2" max="2" width="12.421875" style="19" customWidth="1"/>
    <col min="3" max="3" width="12.28125" style="19" customWidth="1"/>
    <col min="4" max="16384" width="9.140625" style="19" customWidth="1"/>
  </cols>
  <sheetData>
    <row r="1" spans="1:2" ht="14.25">
      <c r="A1" s="29" t="s">
        <v>129</v>
      </c>
      <c r="B1" s="29" t="s">
        <v>130</v>
      </c>
    </row>
    <row r="2" ht="15">
      <c r="A2" s="31"/>
    </row>
    <row r="3" spans="1:3" ht="15">
      <c r="A3" s="31"/>
      <c r="B3" s="13">
        <v>39813</v>
      </c>
      <c r="C3" s="13">
        <v>39447</v>
      </c>
    </row>
    <row r="4" spans="1:3" ht="15">
      <c r="A4" s="31" t="s">
        <v>234</v>
      </c>
      <c r="B4" s="48">
        <v>754000</v>
      </c>
      <c r="C4" s="48">
        <v>600000</v>
      </c>
    </row>
    <row r="5" spans="1:3" ht="15">
      <c r="A5" s="31" t="s">
        <v>131</v>
      </c>
      <c r="B5" s="48">
        <v>7540</v>
      </c>
      <c r="C5" s="48">
        <v>6000</v>
      </c>
    </row>
    <row r="6" spans="1:3" ht="15">
      <c r="A6" s="31" t="s">
        <v>132</v>
      </c>
      <c r="B6" s="48">
        <v>100</v>
      </c>
      <c r="C6" s="48">
        <v>100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5" sqref="A15:C21"/>
    </sheetView>
  </sheetViews>
  <sheetFormatPr defaultColWidth="9.140625" defaultRowHeight="12.75"/>
  <cols>
    <col min="1" max="1" width="42.57421875" style="19" customWidth="1"/>
    <col min="2" max="2" width="11.00390625" style="19" customWidth="1"/>
    <col min="3" max="3" width="11.421875" style="19" customWidth="1"/>
    <col min="4" max="16384" width="9.140625" style="19" customWidth="1"/>
  </cols>
  <sheetData>
    <row r="1" spans="1:2" ht="14.25">
      <c r="A1" s="29" t="s">
        <v>133</v>
      </c>
      <c r="B1" s="29" t="s">
        <v>134</v>
      </c>
    </row>
    <row r="2" ht="15">
      <c r="A2" s="31"/>
    </row>
    <row r="3" ht="15">
      <c r="A3" s="31" t="s">
        <v>378</v>
      </c>
    </row>
    <row r="4" ht="15">
      <c r="A4" s="31"/>
    </row>
    <row r="5" spans="1:3" ht="15" customHeight="1">
      <c r="A5" s="92" t="s">
        <v>135</v>
      </c>
      <c r="B5" s="44">
        <v>2008</v>
      </c>
      <c r="C5" s="44">
        <v>2007</v>
      </c>
    </row>
    <row r="6" spans="1:3" ht="15">
      <c r="A6" s="34" t="s">
        <v>46</v>
      </c>
      <c r="B6" s="35">
        <v>4700000</v>
      </c>
      <c r="C6" s="35">
        <v>3900000</v>
      </c>
    </row>
    <row r="7" spans="1:3" ht="15">
      <c r="A7" s="34" t="s">
        <v>136</v>
      </c>
      <c r="B7" s="35">
        <v>1650000</v>
      </c>
      <c r="C7" s="35">
        <v>1700000</v>
      </c>
    </row>
    <row r="8" spans="1:3" ht="15">
      <c r="A8" s="34" t="s">
        <v>137</v>
      </c>
      <c r="B8" s="35">
        <v>950000</v>
      </c>
      <c r="C8" s="35">
        <v>1260000</v>
      </c>
    </row>
    <row r="9" spans="1:3" ht="15">
      <c r="A9" s="34" t="s">
        <v>138</v>
      </c>
      <c r="B9" s="35">
        <v>100000</v>
      </c>
      <c r="C9" s="35">
        <v>115000</v>
      </c>
    </row>
    <row r="10" spans="1:3" ht="15">
      <c r="A10" s="34" t="s">
        <v>139</v>
      </c>
      <c r="B10" s="35">
        <v>85000</v>
      </c>
      <c r="C10" s="35">
        <v>100000</v>
      </c>
    </row>
    <row r="11" spans="1:3" ht="14.25">
      <c r="A11" s="36" t="s">
        <v>84</v>
      </c>
      <c r="B11" s="37">
        <f>SUM(B6:B10)</f>
        <v>7485000</v>
      </c>
      <c r="C11" s="37">
        <f>SUM(C6:C10)</f>
        <v>7075000</v>
      </c>
    </row>
    <row r="13" ht="15">
      <c r="A13" s="31" t="s">
        <v>379</v>
      </c>
    </row>
    <row r="14" spans="1:3" ht="14.25">
      <c r="A14" s="106"/>
      <c r="B14" s="106"/>
      <c r="C14" s="106"/>
    </row>
    <row r="15" spans="1:3" ht="14.25">
      <c r="A15" s="137" t="s">
        <v>319</v>
      </c>
      <c r="B15" s="44">
        <v>2008</v>
      </c>
      <c r="C15" s="44">
        <v>2007</v>
      </c>
    </row>
    <row r="16" spans="1:3" ht="15">
      <c r="A16" s="34" t="s">
        <v>429</v>
      </c>
      <c r="B16" s="110">
        <v>3250000</v>
      </c>
      <c r="C16" s="110">
        <v>3000000</v>
      </c>
    </row>
    <row r="17" spans="1:3" ht="15">
      <c r="A17" s="34" t="s">
        <v>426</v>
      </c>
      <c r="B17" s="110">
        <v>2500000</v>
      </c>
      <c r="C17" s="110">
        <v>2350000</v>
      </c>
    </row>
    <row r="18" spans="1:3" ht="15">
      <c r="A18" s="34" t="s">
        <v>427</v>
      </c>
      <c r="B18" s="110">
        <v>950000</v>
      </c>
      <c r="C18" s="110">
        <v>900000</v>
      </c>
    </row>
    <row r="19" spans="1:3" ht="15">
      <c r="A19" s="34" t="s">
        <v>428</v>
      </c>
      <c r="B19" s="110">
        <v>780000</v>
      </c>
      <c r="C19" s="110">
        <v>750000</v>
      </c>
    </row>
    <row r="20" spans="1:3" ht="15">
      <c r="A20" s="109" t="s">
        <v>139</v>
      </c>
      <c r="B20" s="111">
        <v>5000</v>
      </c>
      <c r="C20" s="111">
        <v>75000</v>
      </c>
    </row>
    <row r="21" spans="1:3" ht="14.25">
      <c r="A21" s="41" t="s">
        <v>84</v>
      </c>
      <c r="B21" s="42">
        <f>SUM(B16:B20)</f>
        <v>7485000</v>
      </c>
      <c r="C21" s="42">
        <f>SUM(C16:C20)</f>
        <v>7075000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G15" sqref="G15"/>
    </sheetView>
  </sheetViews>
  <sheetFormatPr defaultColWidth="9.140625" defaultRowHeight="12.75"/>
  <cols>
    <col min="1" max="1" width="38.8515625" style="19" customWidth="1"/>
    <col min="2" max="3" width="10.8515625" style="19" customWidth="1"/>
    <col min="4" max="16384" width="9.140625" style="19" customWidth="1"/>
  </cols>
  <sheetData>
    <row r="1" spans="1:4" ht="14.25">
      <c r="A1" s="29" t="s">
        <v>140</v>
      </c>
      <c r="B1" s="204" t="s">
        <v>268</v>
      </c>
      <c r="C1" s="204"/>
      <c r="D1" s="204"/>
    </row>
    <row r="2" spans="1:3" ht="14.25">
      <c r="A2" s="29"/>
      <c r="B2" s="204"/>
      <c r="C2" s="204"/>
    </row>
    <row r="3" ht="15">
      <c r="A3" s="31"/>
    </row>
    <row r="4" spans="1:3" ht="14.25">
      <c r="A4" s="46" t="s">
        <v>141</v>
      </c>
      <c r="B4" s="47">
        <v>2008</v>
      </c>
      <c r="C4" s="47">
        <v>2007</v>
      </c>
    </row>
    <row r="5" spans="1:3" ht="15">
      <c r="A5" s="31" t="s">
        <v>185</v>
      </c>
      <c r="B5" s="48">
        <v>25000</v>
      </c>
      <c r="C5" s="48">
        <v>20000</v>
      </c>
    </row>
    <row r="6" spans="1:3" ht="15">
      <c r="A6" s="31" t="s">
        <v>186</v>
      </c>
      <c r="B6" s="48">
        <v>630000</v>
      </c>
      <c r="C6" s="48">
        <v>350000</v>
      </c>
    </row>
    <row r="7" spans="1:3" ht="15">
      <c r="A7" s="31" t="s">
        <v>142</v>
      </c>
      <c r="B7" s="48">
        <v>3000</v>
      </c>
      <c r="C7" s="48">
        <v>6000</v>
      </c>
    </row>
    <row r="8" spans="1:3" ht="15">
      <c r="A8" s="31" t="s">
        <v>143</v>
      </c>
      <c r="B8" s="48">
        <v>10000</v>
      </c>
      <c r="C8" s="48">
        <v>5600</v>
      </c>
    </row>
    <row r="9" spans="1:3" ht="15">
      <c r="A9" s="31" t="s">
        <v>141</v>
      </c>
      <c r="B9" s="49">
        <v>16000</v>
      </c>
      <c r="C9" s="49">
        <v>1000</v>
      </c>
    </row>
    <row r="10" spans="1:3" ht="14.25">
      <c r="A10" s="46" t="s">
        <v>145</v>
      </c>
      <c r="B10" s="50">
        <f>SUM(B5:B9)</f>
        <v>684000</v>
      </c>
      <c r="C10" s="50">
        <f>SUM(C5:C9)</f>
        <v>382600</v>
      </c>
    </row>
    <row r="13" spans="1:3" ht="14.25">
      <c r="A13" s="46" t="s">
        <v>223</v>
      </c>
      <c r="B13" s="47">
        <v>2008</v>
      </c>
      <c r="C13" s="47">
        <v>2007</v>
      </c>
    </row>
    <row r="14" spans="1:3" ht="15">
      <c r="A14" s="31" t="s">
        <v>144</v>
      </c>
      <c r="B14" s="48">
        <v>15000</v>
      </c>
      <c r="C14" s="48">
        <v>6000</v>
      </c>
    </row>
    <row r="15" spans="1:3" ht="15">
      <c r="A15" s="31" t="s">
        <v>269</v>
      </c>
      <c r="B15" s="48">
        <v>-33000</v>
      </c>
      <c r="C15" s="48">
        <v>-2400</v>
      </c>
    </row>
    <row r="16" spans="1:3" ht="15">
      <c r="A16" s="31" t="s">
        <v>270</v>
      </c>
      <c r="B16" s="48">
        <v>-7800</v>
      </c>
      <c r="C16" s="48">
        <v>-3600</v>
      </c>
    </row>
    <row r="17" spans="1:3" ht="15">
      <c r="A17" s="31" t="s">
        <v>271</v>
      </c>
      <c r="B17" s="48">
        <v>-2500</v>
      </c>
      <c r="C17" s="48">
        <v>0</v>
      </c>
    </row>
    <row r="18" spans="1:3" ht="15">
      <c r="A18" s="31" t="s">
        <v>223</v>
      </c>
      <c r="B18" s="49">
        <v>-2700</v>
      </c>
      <c r="C18" s="49">
        <v>-1800</v>
      </c>
    </row>
    <row r="19" spans="1:3" ht="14.25">
      <c r="A19" s="46" t="s">
        <v>145</v>
      </c>
      <c r="B19" s="50">
        <f>SUM(B14:B18)</f>
        <v>-31000</v>
      </c>
      <c r="C19" s="50">
        <f>SUM(C14:C18)</f>
        <v>-1800</v>
      </c>
    </row>
    <row r="23" ht="14.25">
      <c r="A23" s="19" t="s">
        <v>179</v>
      </c>
    </row>
    <row r="24" spans="2:3" ht="14.25">
      <c r="B24" s="103"/>
      <c r="C24" s="103"/>
    </row>
  </sheetData>
  <mergeCells count="2">
    <mergeCell ref="B2:C2"/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C39" sqref="C39"/>
    </sheetView>
  </sheetViews>
  <sheetFormatPr defaultColWidth="9.140625" defaultRowHeight="12.75"/>
  <cols>
    <col min="1" max="1" width="41.00390625" style="19" customWidth="1"/>
    <col min="2" max="3" width="11.7109375" style="19" customWidth="1"/>
    <col min="4" max="4" width="10.57421875" style="19" customWidth="1"/>
    <col min="5" max="16384" width="9.140625" style="19" customWidth="1"/>
  </cols>
  <sheetData>
    <row r="1" spans="1:4" ht="14.25">
      <c r="A1" s="29" t="s">
        <v>146</v>
      </c>
      <c r="B1" s="204" t="s">
        <v>147</v>
      </c>
      <c r="C1" s="204"/>
      <c r="D1" s="204"/>
    </row>
    <row r="2" ht="15">
      <c r="A2" s="31"/>
    </row>
    <row r="3" spans="1:3" ht="15">
      <c r="A3" s="31"/>
      <c r="B3" s="94">
        <v>2008</v>
      </c>
      <c r="C3" s="94">
        <v>2007</v>
      </c>
    </row>
    <row r="4" spans="1:3" ht="15">
      <c r="A4" s="93" t="s">
        <v>34</v>
      </c>
      <c r="B4" s="95">
        <v>-3266500</v>
      </c>
      <c r="C4" s="95">
        <v>-2975800</v>
      </c>
    </row>
    <row r="5" spans="1:3" ht="15">
      <c r="A5" s="93" t="s">
        <v>148</v>
      </c>
      <c r="B5" s="95">
        <v>-395000</v>
      </c>
      <c r="C5" s="95">
        <v>-352000</v>
      </c>
    </row>
    <row r="6" spans="1:3" ht="15">
      <c r="A6" s="93" t="s">
        <v>149</v>
      </c>
      <c r="B6" s="95">
        <f>-69000-92000</f>
        <v>-161000</v>
      </c>
      <c r="C6" s="95">
        <f>-56000-88500</f>
        <v>-144500</v>
      </c>
    </row>
    <row r="7" spans="1:3" ht="15">
      <c r="A7" s="93" t="s">
        <v>150</v>
      </c>
      <c r="B7" s="95">
        <v>-58000</v>
      </c>
      <c r="C7" s="95">
        <v>-39500</v>
      </c>
    </row>
    <row r="8" spans="1:3" ht="15">
      <c r="A8" s="93" t="s">
        <v>151</v>
      </c>
      <c r="B8" s="95">
        <v>-54000</v>
      </c>
      <c r="C8" s="95">
        <v>-29100</v>
      </c>
    </row>
    <row r="9" spans="1:3" ht="15">
      <c r="A9" s="93" t="s">
        <v>152</v>
      </c>
      <c r="B9" s="96">
        <v>-25000</v>
      </c>
      <c r="C9" s="96">
        <v>-22000</v>
      </c>
    </row>
    <row r="10" spans="1:3" ht="14.25">
      <c r="A10" s="97" t="s">
        <v>153</v>
      </c>
      <c r="B10" s="98">
        <f>SUM(B4:B9)</f>
        <v>-3959500</v>
      </c>
      <c r="C10" s="98">
        <f>SUM(C4:C9)</f>
        <v>-3562900</v>
      </c>
    </row>
    <row r="14" ht="14.25">
      <c r="A14" s="104" t="s">
        <v>288</v>
      </c>
    </row>
    <row r="15" spans="1:4" ht="14.25">
      <c r="A15" s="29" t="s">
        <v>146</v>
      </c>
      <c r="B15" s="30" t="s">
        <v>272</v>
      </c>
      <c r="C15" s="30"/>
      <c r="D15" s="30"/>
    </row>
    <row r="17" spans="1:3" ht="15">
      <c r="A17" s="105" t="s">
        <v>273</v>
      </c>
      <c r="B17" s="106"/>
      <c r="C17" s="106"/>
    </row>
    <row r="18" spans="1:3" ht="15">
      <c r="A18" s="32"/>
      <c r="B18" s="94">
        <v>2008</v>
      </c>
      <c r="C18" s="94">
        <v>2007</v>
      </c>
    </row>
    <row r="19" spans="1:3" ht="15">
      <c r="A19" s="34" t="s">
        <v>274</v>
      </c>
      <c r="B19" s="35">
        <v>-3050000</v>
      </c>
      <c r="C19" s="35">
        <v>-2709600</v>
      </c>
    </row>
    <row r="20" spans="1:3" ht="15">
      <c r="A20" s="34" t="s">
        <v>275</v>
      </c>
      <c r="B20" s="35">
        <v>-395000</v>
      </c>
      <c r="C20" s="35">
        <v>-352000</v>
      </c>
    </row>
    <row r="21" spans="1:3" ht="15">
      <c r="A21" s="34" t="s">
        <v>276</v>
      </c>
      <c r="B21" s="35">
        <v>-163300</v>
      </c>
      <c r="C21" s="35">
        <v>-88500</v>
      </c>
    </row>
    <row r="22" spans="1:3" ht="15">
      <c r="A22" s="34" t="s">
        <v>277</v>
      </c>
      <c r="B22" s="35">
        <v>-58000</v>
      </c>
      <c r="C22" s="35">
        <v>-56000</v>
      </c>
    </row>
    <row r="23" spans="1:3" ht="15">
      <c r="A23" s="34" t="s">
        <v>278</v>
      </c>
      <c r="B23" s="35">
        <v>-650000</v>
      </c>
      <c r="C23" s="35">
        <v>-595000</v>
      </c>
    </row>
    <row r="24" spans="1:3" ht="12" customHeight="1">
      <c r="A24" s="34" t="s">
        <v>279</v>
      </c>
      <c r="B24" s="35">
        <v>-95000</v>
      </c>
      <c r="C24" s="35">
        <v>-45000</v>
      </c>
    </row>
    <row r="25" spans="1:3" ht="15">
      <c r="A25" s="34" t="s">
        <v>280</v>
      </c>
      <c r="B25" s="35">
        <v>-190700</v>
      </c>
      <c r="C25" s="35">
        <v>-232000</v>
      </c>
    </row>
    <row r="26" spans="1:3" ht="14.25">
      <c r="A26" s="36" t="s">
        <v>281</v>
      </c>
      <c r="B26" s="37">
        <f>SUM(B19:B25)</f>
        <v>-4602000</v>
      </c>
      <c r="C26" s="37">
        <f>SUM(C19:C25)</f>
        <v>-4078100</v>
      </c>
    </row>
    <row r="27" spans="1:3" ht="15">
      <c r="A27" s="43"/>
      <c r="B27" s="106"/>
      <c r="C27" s="106"/>
    </row>
    <row r="28" spans="1:3" ht="15">
      <c r="A28" s="105" t="s">
        <v>232</v>
      </c>
      <c r="B28" s="106"/>
      <c r="C28" s="106"/>
    </row>
    <row r="29" spans="1:3" ht="15">
      <c r="A29" s="32"/>
      <c r="B29" s="94">
        <v>2008</v>
      </c>
      <c r="C29" s="94">
        <v>2007</v>
      </c>
    </row>
    <row r="30" spans="1:3" ht="15">
      <c r="A30" s="34" t="s">
        <v>282</v>
      </c>
      <c r="B30" s="35">
        <v>-237000</v>
      </c>
      <c r="C30" s="35">
        <v>-206000</v>
      </c>
    </row>
    <row r="31" spans="1:3" ht="15">
      <c r="A31" s="34" t="s">
        <v>276</v>
      </c>
      <c r="B31" s="35">
        <v>-295000</v>
      </c>
      <c r="C31" s="35">
        <v>-290000</v>
      </c>
    </row>
    <row r="32" spans="1:3" ht="15">
      <c r="A32" s="34" t="s">
        <v>278</v>
      </c>
      <c r="B32" s="35">
        <v>-290000</v>
      </c>
      <c r="C32" s="35">
        <v>-245000</v>
      </c>
    </row>
    <row r="33" spans="1:3" ht="12.75" customHeight="1">
      <c r="A33" s="34" t="s">
        <v>279</v>
      </c>
      <c r="B33" s="35">
        <v>-38000</v>
      </c>
      <c r="C33" s="35">
        <v>-18000</v>
      </c>
    </row>
    <row r="34" spans="1:3" ht="15">
      <c r="A34" s="34" t="s">
        <v>280</v>
      </c>
      <c r="B34" s="35">
        <v>-76200</v>
      </c>
      <c r="C34" s="35">
        <v>-95300</v>
      </c>
    </row>
    <row r="35" spans="1:3" ht="14.25">
      <c r="A35" s="36" t="s">
        <v>283</v>
      </c>
      <c r="B35" s="37">
        <f>SUM(B30:B34)</f>
        <v>-936200</v>
      </c>
      <c r="C35" s="37">
        <f>SUM(C30:C34)</f>
        <v>-854300</v>
      </c>
    </row>
    <row r="36" spans="1:3" ht="15">
      <c r="A36" s="43"/>
      <c r="B36" s="106"/>
      <c r="C36" s="106"/>
    </row>
    <row r="37" spans="1:3" ht="15">
      <c r="A37" s="105" t="s">
        <v>233</v>
      </c>
      <c r="B37" s="106"/>
      <c r="C37" s="106"/>
    </row>
    <row r="38" spans="1:3" ht="15">
      <c r="A38" s="32"/>
      <c r="B38" s="94">
        <v>2008</v>
      </c>
      <c r="C38" s="94">
        <v>2007</v>
      </c>
    </row>
    <row r="39" spans="1:3" ht="15">
      <c r="A39" s="34" t="s">
        <v>284</v>
      </c>
      <c r="B39" s="35">
        <v>-432800</v>
      </c>
      <c r="C39" s="35">
        <v>-369500</v>
      </c>
    </row>
    <row r="40" spans="1:3" ht="15">
      <c r="A40" s="34" t="s">
        <v>285</v>
      </c>
      <c r="B40" s="35">
        <v>-295000</v>
      </c>
      <c r="C40" s="35">
        <v>-232000</v>
      </c>
    </row>
    <row r="41" spans="1:3" ht="15">
      <c r="A41" s="34" t="s">
        <v>286</v>
      </c>
      <c r="B41" s="35">
        <v>-438000</v>
      </c>
      <c r="C41" s="35">
        <v>-370200</v>
      </c>
    </row>
    <row r="42" spans="1:3" ht="15">
      <c r="A42" s="34" t="s">
        <v>277</v>
      </c>
      <c r="B42" s="35">
        <v>-220000</v>
      </c>
      <c r="C42" s="35">
        <v>-203000</v>
      </c>
    </row>
    <row r="43" spans="1:3" ht="15">
      <c r="A43" s="34" t="s">
        <v>278</v>
      </c>
      <c r="B43" s="35">
        <v>-410000</v>
      </c>
      <c r="C43" s="35">
        <v>-240000</v>
      </c>
    </row>
    <row r="44" spans="1:3" ht="12.75" customHeight="1">
      <c r="A44" s="34" t="s">
        <v>279</v>
      </c>
      <c r="B44" s="35">
        <v>-10000</v>
      </c>
      <c r="C44" s="35">
        <v>-12000</v>
      </c>
    </row>
    <row r="45" spans="1:3" ht="15">
      <c r="A45" s="34" t="s">
        <v>280</v>
      </c>
      <c r="B45" s="35">
        <v>-10000</v>
      </c>
      <c r="C45" s="35">
        <v>0</v>
      </c>
    </row>
    <row r="46" spans="1:3" ht="14.25">
      <c r="A46" s="36" t="s">
        <v>287</v>
      </c>
      <c r="B46" s="37">
        <f>SUM(B39:B45)</f>
        <v>-1815800</v>
      </c>
      <c r="C46" s="37">
        <f>SUM(C39:C45)</f>
        <v>-1426700</v>
      </c>
    </row>
  </sheetData>
  <mergeCells count="1">
    <mergeCell ref="B1:D1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G16" sqref="G16"/>
    </sheetView>
  </sheetViews>
  <sheetFormatPr defaultColWidth="9.140625" defaultRowHeight="12.75"/>
  <cols>
    <col min="1" max="1" width="51.28125" style="19" customWidth="1"/>
    <col min="2" max="3" width="11.7109375" style="19" customWidth="1"/>
    <col min="4" max="16384" width="9.140625" style="19" customWidth="1"/>
  </cols>
  <sheetData>
    <row r="1" spans="1:3" ht="14.25">
      <c r="A1" s="29" t="s">
        <v>154</v>
      </c>
      <c r="B1" s="204" t="s">
        <v>155</v>
      </c>
      <c r="C1" s="204"/>
    </row>
    <row r="2" ht="15">
      <c r="A2" s="31"/>
    </row>
    <row r="3" ht="15">
      <c r="A3" s="31" t="s">
        <v>156</v>
      </c>
    </row>
    <row r="4" ht="15">
      <c r="A4" s="31"/>
    </row>
    <row r="5" spans="1:3" ht="15">
      <c r="A5" s="31"/>
      <c r="B5" s="94">
        <v>2008</v>
      </c>
      <c r="C5" s="94">
        <v>2007</v>
      </c>
    </row>
    <row r="6" spans="1:3" ht="15">
      <c r="A6" s="46" t="s">
        <v>157</v>
      </c>
      <c r="B6" s="31"/>
      <c r="C6" s="31"/>
    </row>
    <row r="7" spans="1:3" ht="15">
      <c r="A7" s="31" t="s">
        <v>158</v>
      </c>
      <c r="B7" s="69">
        <v>0</v>
      </c>
      <c r="C7" s="48">
        <v>15000</v>
      </c>
    </row>
    <row r="8" spans="1:3" ht="15">
      <c r="A8" s="31" t="s">
        <v>159</v>
      </c>
      <c r="B8" s="48">
        <v>580000</v>
      </c>
      <c r="C8" s="48">
        <v>285000</v>
      </c>
    </row>
    <row r="9" spans="1:3" ht="15">
      <c r="A9" s="31" t="s">
        <v>160</v>
      </c>
      <c r="B9" s="48">
        <v>550000</v>
      </c>
      <c r="C9" s="48">
        <v>300000</v>
      </c>
    </row>
    <row r="10" spans="1:3" ht="15">
      <c r="A10" s="31" t="s">
        <v>291</v>
      </c>
      <c r="B10" s="48">
        <f>B7+B8-B9</f>
        <v>30000</v>
      </c>
      <c r="C10" s="48">
        <f>C7+C8-C9</f>
        <v>0</v>
      </c>
    </row>
    <row r="11" spans="1:3" ht="15">
      <c r="A11" s="31"/>
      <c r="B11" s="31"/>
      <c r="C11" s="31"/>
    </row>
    <row r="12" spans="1:3" ht="15">
      <c r="A12" s="46" t="s">
        <v>161</v>
      </c>
      <c r="B12" s="31"/>
      <c r="C12" s="31"/>
    </row>
    <row r="13" spans="1:3" ht="15">
      <c r="A13" s="31" t="s">
        <v>162</v>
      </c>
      <c r="B13" s="69">
        <v>0</v>
      </c>
      <c r="C13" s="69">
        <v>0</v>
      </c>
    </row>
    <row r="14" spans="1:3" ht="15">
      <c r="A14" s="31" t="s">
        <v>163</v>
      </c>
      <c r="B14" s="48">
        <v>60000</v>
      </c>
      <c r="C14" s="48">
        <v>50000</v>
      </c>
    </row>
    <row r="15" spans="1:3" ht="15">
      <c r="A15" s="31" t="s">
        <v>164</v>
      </c>
      <c r="B15" s="48">
        <v>50000</v>
      </c>
      <c r="C15" s="48">
        <v>50000</v>
      </c>
    </row>
    <row r="16" spans="1:3" ht="15">
      <c r="A16" s="31" t="s">
        <v>292</v>
      </c>
      <c r="B16" s="48">
        <f>B13+B14-B15</f>
        <v>10000</v>
      </c>
      <c r="C16" s="48">
        <f>C13+C14-C15</f>
        <v>0</v>
      </c>
    </row>
    <row r="17" spans="1:3" ht="15">
      <c r="A17" s="31"/>
      <c r="B17" s="31"/>
      <c r="C17" s="31"/>
    </row>
    <row r="18" spans="1:3" ht="15">
      <c r="A18" s="46" t="s">
        <v>165</v>
      </c>
      <c r="B18" s="31"/>
      <c r="C18" s="31"/>
    </row>
    <row r="19" spans="1:3" ht="15">
      <c r="A19" s="31" t="s">
        <v>166</v>
      </c>
      <c r="B19" s="48">
        <v>30000</v>
      </c>
      <c r="C19" s="69">
        <v>0</v>
      </c>
    </row>
    <row r="20" spans="1:3" ht="15">
      <c r="A20" s="31"/>
      <c r="B20" s="31"/>
      <c r="C20" s="31"/>
    </row>
    <row r="21" spans="1:3" ht="14.25">
      <c r="A21" s="46" t="s">
        <v>235</v>
      </c>
      <c r="B21" s="50">
        <f>B9+B15+B19</f>
        <v>630000</v>
      </c>
      <c r="C21" s="50">
        <f>C9+C15+C19</f>
        <v>350000</v>
      </c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G27" sqref="G27"/>
    </sheetView>
  </sheetViews>
  <sheetFormatPr defaultColWidth="9.140625" defaultRowHeight="12.75" outlineLevelRow="1"/>
  <cols>
    <col min="1" max="1" width="49.57421875" style="19" customWidth="1"/>
    <col min="2" max="2" width="11.421875" style="19" customWidth="1"/>
    <col min="3" max="3" width="11.28125" style="19" customWidth="1"/>
    <col min="4" max="16384" width="9.140625" style="19" customWidth="1"/>
  </cols>
  <sheetData>
    <row r="1" spans="1:4" ht="14.25">
      <c r="A1" s="46" t="s">
        <v>187</v>
      </c>
      <c r="B1" s="46" t="s">
        <v>188</v>
      </c>
      <c r="C1" s="46"/>
      <c r="D1" s="46"/>
    </row>
    <row r="2" spans="1:5" ht="15">
      <c r="A2" s="31"/>
      <c r="B2" s="204">
        <v>2008</v>
      </c>
      <c r="C2" s="204"/>
      <c r="D2" s="204">
        <v>2007</v>
      </c>
      <c r="E2" s="204"/>
    </row>
    <row r="3" spans="1:5" ht="15">
      <c r="A3" s="31"/>
      <c r="B3" s="47" t="s">
        <v>167</v>
      </c>
      <c r="C3" s="47" t="s">
        <v>168</v>
      </c>
      <c r="D3" s="47" t="s">
        <v>167</v>
      </c>
      <c r="E3" s="47" t="s">
        <v>168</v>
      </c>
    </row>
    <row r="4" spans="1:5" ht="15" hidden="1" outlineLevel="1">
      <c r="A4" s="31" t="s">
        <v>362</v>
      </c>
      <c r="B4" s="48">
        <v>0</v>
      </c>
      <c r="C4" s="48">
        <v>0</v>
      </c>
      <c r="D4" s="48">
        <v>0</v>
      </c>
      <c r="E4" s="48">
        <v>0</v>
      </c>
    </row>
    <row r="5" spans="1:5" ht="15" collapsed="1">
      <c r="A5" s="31" t="s">
        <v>169</v>
      </c>
      <c r="B5" s="49">
        <v>98000</v>
      </c>
      <c r="C5" s="49">
        <v>15000</v>
      </c>
      <c r="D5" s="78">
        <v>5000</v>
      </c>
      <c r="E5" s="78">
        <v>0</v>
      </c>
    </row>
    <row r="6" spans="1:5" ht="14.25">
      <c r="A6" s="46" t="s">
        <v>170</v>
      </c>
      <c r="B6" s="50">
        <f>SUM(B4:B5)</f>
        <v>98000</v>
      </c>
      <c r="C6" s="50">
        <f>SUM(C4:C5)</f>
        <v>15000</v>
      </c>
      <c r="D6" s="50">
        <f>SUM(D4:D5)</f>
        <v>5000</v>
      </c>
      <c r="E6" s="50">
        <f>SUM(E4:E5)</f>
        <v>0</v>
      </c>
    </row>
    <row r="7" spans="1:5" ht="15">
      <c r="A7" s="31"/>
      <c r="B7" s="69"/>
      <c r="C7" s="69"/>
      <c r="D7" s="69"/>
      <c r="E7" s="69"/>
    </row>
    <row r="8" spans="1:5" ht="14.25">
      <c r="A8" s="46" t="s">
        <v>171</v>
      </c>
      <c r="B8" s="77">
        <v>0</v>
      </c>
      <c r="C8" s="50">
        <v>14500</v>
      </c>
      <c r="D8" s="77">
        <v>8000</v>
      </c>
      <c r="E8" s="77">
        <v>0</v>
      </c>
    </row>
    <row r="9" spans="1:5" ht="15">
      <c r="A9" s="31"/>
      <c r="B9" s="69"/>
      <c r="C9" s="69"/>
      <c r="D9" s="69"/>
      <c r="E9" s="69"/>
    </row>
    <row r="10" spans="1:5" ht="15" hidden="1" outlineLevel="1">
      <c r="A10" s="31" t="s">
        <v>362</v>
      </c>
      <c r="B10" s="48">
        <v>0</v>
      </c>
      <c r="C10" s="48">
        <v>0</v>
      </c>
      <c r="D10" s="48">
        <v>0</v>
      </c>
      <c r="E10" s="48">
        <v>0</v>
      </c>
    </row>
    <row r="11" spans="1:5" ht="15" collapsed="1">
      <c r="A11" s="31" t="s">
        <v>169</v>
      </c>
      <c r="B11" s="69">
        <v>0</v>
      </c>
      <c r="C11" s="69">
        <v>2500</v>
      </c>
      <c r="D11" s="69">
        <v>0</v>
      </c>
      <c r="E11" s="69">
        <v>2000</v>
      </c>
    </row>
    <row r="12" spans="1:5" ht="15">
      <c r="A12" s="31" t="s">
        <v>172</v>
      </c>
      <c r="B12" s="48">
        <v>17000</v>
      </c>
      <c r="C12" s="69">
        <v>0</v>
      </c>
      <c r="D12" s="48">
        <v>15000</v>
      </c>
      <c r="E12" s="69">
        <v>0</v>
      </c>
    </row>
    <row r="13" spans="1:5" ht="15">
      <c r="A13" s="31" t="s">
        <v>173</v>
      </c>
      <c r="B13" s="78">
        <v>2500</v>
      </c>
      <c r="C13" s="78">
        <v>0</v>
      </c>
      <c r="D13" s="78">
        <v>9000</v>
      </c>
      <c r="E13" s="78">
        <v>0</v>
      </c>
    </row>
    <row r="14" spans="1:5" ht="14.25">
      <c r="A14" s="46" t="s">
        <v>174</v>
      </c>
      <c r="B14" s="50">
        <f>SUM(B10:B13)</f>
        <v>19500</v>
      </c>
      <c r="C14" s="50">
        <f>SUM(C10:C13)</f>
        <v>2500</v>
      </c>
      <c r="D14" s="50">
        <f>SUM(D10:D13)</f>
        <v>24000</v>
      </c>
      <c r="E14" s="50">
        <f>SUM(E10:E13)</f>
        <v>2000</v>
      </c>
    </row>
    <row r="18" ht="15">
      <c r="A18" s="31" t="s">
        <v>189</v>
      </c>
    </row>
    <row r="19" spans="1:3" ht="15">
      <c r="A19" s="99"/>
      <c r="B19" s="13">
        <v>39813</v>
      </c>
      <c r="C19" s="13">
        <v>39447</v>
      </c>
    </row>
    <row r="20" spans="1:3" ht="15">
      <c r="A20" s="99" t="s">
        <v>435</v>
      </c>
      <c r="B20" s="48">
        <v>1000</v>
      </c>
      <c r="C20" s="48">
        <v>0</v>
      </c>
    </row>
    <row r="21" spans="1:3" ht="15">
      <c r="A21" s="99" t="s">
        <v>436</v>
      </c>
      <c r="B21" s="69">
        <v>44000</v>
      </c>
      <c r="C21" s="69">
        <v>17000</v>
      </c>
    </row>
    <row r="22" spans="1:3" ht="15">
      <c r="A22" s="31" t="s">
        <v>173</v>
      </c>
      <c r="B22" s="78">
        <v>5000</v>
      </c>
      <c r="C22" s="78">
        <v>8000</v>
      </c>
    </row>
    <row r="23" spans="1:3" ht="14.25">
      <c r="A23" s="29" t="s">
        <v>175</v>
      </c>
      <c r="B23" s="50">
        <f>SUM(B20:B22)</f>
        <v>50000</v>
      </c>
      <c r="C23" s="50">
        <f>SUM(C20:C22)</f>
        <v>25000</v>
      </c>
    </row>
    <row r="24" spans="1:3" ht="15">
      <c r="A24" s="31"/>
      <c r="B24" s="69"/>
      <c r="C24" s="69"/>
    </row>
    <row r="25" spans="1:3" ht="15">
      <c r="A25" s="31" t="s">
        <v>434</v>
      </c>
      <c r="B25" s="48">
        <v>55000</v>
      </c>
      <c r="C25" s="48">
        <v>47000</v>
      </c>
    </row>
    <row r="26" spans="1:3" ht="15">
      <c r="A26" s="99" t="s">
        <v>433</v>
      </c>
      <c r="B26" s="49">
        <v>76000</v>
      </c>
      <c r="C26" s="49">
        <v>57000</v>
      </c>
    </row>
    <row r="27" spans="1:3" ht="14.25">
      <c r="A27" s="29" t="s">
        <v>176</v>
      </c>
      <c r="B27" s="50">
        <f>SUM(B25:B26)</f>
        <v>131000</v>
      </c>
      <c r="C27" s="50">
        <f>SUM(C25:C26)</f>
        <v>104000</v>
      </c>
    </row>
    <row r="28" spans="1:3" ht="15">
      <c r="A28" s="99"/>
      <c r="B28" s="69"/>
      <c r="C28" s="69"/>
    </row>
    <row r="29" spans="1:3" ht="15">
      <c r="A29" s="99" t="s">
        <v>293</v>
      </c>
      <c r="B29" s="48">
        <v>6000</v>
      </c>
      <c r="C29" s="48">
        <v>5000</v>
      </c>
    </row>
    <row r="30" spans="1:3" ht="15">
      <c r="A30" s="99" t="s">
        <v>430</v>
      </c>
      <c r="B30" s="49">
        <v>265000</v>
      </c>
      <c r="C30" s="49">
        <v>171000</v>
      </c>
    </row>
    <row r="31" spans="1:3" ht="14.25">
      <c r="A31" s="46" t="s">
        <v>177</v>
      </c>
      <c r="B31" s="50">
        <f>SUM(B29:B30)</f>
        <v>271000</v>
      </c>
      <c r="C31" s="50">
        <f>SUM(C29:C30)</f>
        <v>176000</v>
      </c>
    </row>
    <row r="32" spans="1:3" ht="15">
      <c r="A32" s="99"/>
      <c r="B32" s="69"/>
      <c r="C32" s="69"/>
    </row>
    <row r="33" spans="1:3" ht="15">
      <c r="A33" s="99" t="s">
        <v>293</v>
      </c>
      <c r="B33" s="48">
        <v>5000</v>
      </c>
      <c r="C33" s="48">
        <v>12000</v>
      </c>
    </row>
    <row r="34" spans="1:3" ht="15">
      <c r="A34" s="99" t="s">
        <v>430</v>
      </c>
      <c r="B34" s="49">
        <v>34000</v>
      </c>
      <c r="C34" s="49">
        <v>11000</v>
      </c>
    </row>
    <row r="35" spans="1:3" ht="14.25">
      <c r="A35" s="46" t="s">
        <v>178</v>
      </c>
      <c r="B35" s="50">
        <f>SUM(B33:B34)</f>
        <v>39000</v>
      </c>
      <c r="C35" s="50">
        <f>SUM(C33:C34)</f>
        <v>23000</v>
      </c>
    </row>
  </sheetData>
  <mergeCells count="2">
    <mergeCell ref="B2:C2"/>
    <mergeCell ref="D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D5" sqref="D5"/>
    </sheetView>
  </sheetViews>
  <sheetFormatPr defaultColWidth="9.140625" defaultRowHeight="12.75"/>
  <cols>
    <col min="1" max="1" width="49.421875" style="19" bestFit="1" customWidth="1"/>
    <col min="2" max="2" width="8.28125" style="19" customWidth="1"/>
    <col min="3" max="3" width="10.140625" style="19" bestFit="1" customWidth="1"/>
    <col min="4" max="4" width="9.8515625" style="19" customWidth="1"/>
    <col min="5" max="16384" width="9.140625" style="19" customWidth="1"/>
  </cols>
  <sheetData>
    <row r="1" ht="15">
      <c r="A1" s="29" t="s">
        <v>298</v>
      </c>
    </row>
    <row r="2" ht="15">
      <c r="A2" s="31" t="s">
        <v>191</v>
      </c>
    </row>
    <row r="3" ht="15">
      <c r="A3" s="31"/>
    </row>
    <row r="4" spans="1:4" ht="15">
      <c r="A4" s="69"/>
      <c r="B4" s="112" t="s">
        <v>192</v>
      </c>
      <c r="C4" s="74">
        <v>2008</v>
      </c>
      <c r="D4" s="74">
        <v>2007</v>
      </c>
    </row>
    <row r="5" spans="1:4" ht="15">
      <c r="A5" s="69"/>
      <c r="B5" s="114"/>
      <c r="C5" s="69"/>
      <c r="D5" s="69"/>
    </row>
    <row r="6" spans="1:4" ht="15">
      <c r="A6" s="71" t="s">
        <v>134</v>
      </c>
      <c r="B6" s="107">
        <v>20</v>
      </c>
      <c r="C6" s="22">
        <v>7485000</v>
      </c>
      <c r="D6" s="22">
        <v>7075000</v>
      </c>
    </row>
    <row r="7" spans="1:4" ht="15">
      <c r="A7" s="71" t="s">
        <v>230</v>
      </c>
      <c r="B7" s="114"/>
      <c r="C7" s="22">
        <v>-4602000</v>
      </c>
      <c r="D7" s="22">
        <v>-4078100</v>
      </c>
    </row>
    <row r="8" spans="1:4" ht="15">
      <c r="A8" s="31"/>
      <c r="B8" s="114"/>
      <c r="C8" s="69"/>
      <c r="D8" s="69"/>
    </row>
    <row r="9" spans="1:4" ht="15">
      <c r="A9" s="73" t="s">
        <v>231</v>
      </c>
      <c r="B9" s="114"/>
      <c r="C9" s="55">
        <f>SUM(C6:C8)</f>
        <v>2883000</v>
      </c>
      <c r="D9" s="55">
        <f>SUM(D6:D8)</f>
        <v>2996900</v>
      </c>
    </row>
    <row r="10" spans="1:4" ht="15">
      <c r="A10" s="31"/>
      <c r="B10" s="114"/>
      <c r="C10" s="69"/>
      <c r="D10" s="69"/>
    </row>
    <row r="11" spans="1:4" ht="15">
      <c r="A11" s="71" t="s">
        <v>232</v>
      </c>
      <c r="B11" s="114"/>
      <c r="C11" s="22">
        <v>-936200</v>
      </c>
      <c r="D11" s="22">
        <v>-854300</v>
      </c>
    </row>
    <row r="12" spans="1:4" ht="15">
      <c r="A12" s="71" t="s">
        <v>233</v>
      </c>
      <c r="B12" s="114"/>
      <c r="C12" s="22">
        <v>-1815800</v>
      </c>
      <c r="D12" s="22">
        <v>-1426700</v>
      </c>
    </row>
    <row r="13" spans="1:4" ht="15">
      <c r="A13" s="71" t="s">
        <v>141</v>
      </c>
      <c r="B13" s="107">
        <v>21</v>
      </c>
      <c r="C13" s="22">
        <v>684000</v>
      </c>
      <c r="D13" s="22">
        <v>382600</v>
      </c>
    </row>
    <row r="14" spans="1:4" ht="15">
      <c r="A14" s="71" t="s">
        <v>223</v>
      </c>
      <c r="B14" s="114">
        <v>21</v>
      </c>
      <c r="C14" s="22">
        <v>-31000</v>
      </c>
      <c r="D14" s="22">
        <v>-1800</v>
      </c>
    </row>
    <row r="15" spans="1:4" ht="15">
      <c r="A15" s="31"/>
      <c r="B15" s="114"/>
      <c r="C15" s="69"/>
      <c r="D15" s="69"/>
    </row>
    <row r="16" spans="1:4" ht="15">
      <c r="A16" s="73" t="s">
        <v>295</v>
      </c>
      <c r="B16" s="114"/>
      <c r="C16" s="55">
        <f>SUM(C9:C15)</f>
        <v>784000</v>
      </c>
      <c r="D16" s="55">
        <f>SUM(D9:D15)</f>
        <v>1096700</v>
      </c>
    </row>
    <row r="17" spans="1:4" ht="15">
      <c r="A17" s="31"/>
      <c r="B17" s="114"/>
      <c r="C17" s="69"/>
      <c r="D17" s="69"/>
    </row>
    <row r="18" spans="1:4" ht="15">
      <c r="A18" s="73" t="s">
        <v>224</v>
      </c>
      <c r="B18" s="114"/>
      <c r="C18" s="69"/>
      <c r="D18" s="69"/>
    </row>
    <row r="19" spans="1:4" ht="15">
      <c r="A19" s="71" t="s">
        <v>393</v>
      </c>
      <c r="B19" s="107">
        <v>8</v>
      </c>
      <c r="C19" s="22">
        <v>-6000</v>
      </c>
      <c r="D19" s="22">
        <v>-28000</v>
      </c>
    </row>
    <row r="20" spans="1:4" ht="15">
      <c r="A20" s="192" t="s">
        <v>341</v>
      </c>
      <c r="B20" s="192"/>
      <c r="C20" s="72">
        <v>0</v>
      </c>
      <c r="D20" s="22">
        <v>-2000</v>
      </c>
    </row>
    <row r="21" spans="1:4" ht="15">
      <c r="A21" s="71" t="s">
        <v>342</v>
      </c>
      <c r="B21" s="71"/>
      <c r="C21" s="22">
        <v>-210000</v>
      </c>
      <c r="D21" s="22">
        <v>-140000</v>
      </c>
    </row>
    <row r="22" spans="1:4" ht="15">
      <c r="A22" s="192" t="s">
        <v>225</v>
      </c>
      <c r="B22" s="192"/>
      <c r="C22" s="22"/>
      <c r="D22" s="22"/>
    </row>
    <row r="23" spans="1:4" ht="15">
      <c r="A23" s="192" t="s">
        <v>226</v>
      </c>
      <c r="B23" s="192"/>
      <c r="C23" s="22">
        <f>-62000-72000</f>
        <v>-134000</v>
      </c>
      <c r="D23" s="22">
        <v>-6000</v>
      </c>
    </row>
    <row r="24" spans="1:4" ht="15">
      <c r="A24" s="192" t="s">
        <v>227</v>
      </c>
      <c r="B24" s="192"/>
      <c r="C24" s="22">
        <v>20500</v>
      </c>
      <c r="D24" s="22">
        <v>21000</v>
      </c>
    </row>
    <row r="25" spans="1:4" ht="15">
      <c r="A25" s="73" t="s">
        <v>228</v>
      </c>
      <c r="B25" s="114"/>
      <c r="C25" s="55">
        <f>SUM(C19:C24)</f>
        <v>-329500</v>
      </c>
      <c r="D25" s="55">
        <f>SUM(D19:D24)</f>
        <v>-155000</v>
      </c>
    </row>
    <row r="26" spans="1:4" ht="15">
      <c r="A26" s="31"/>
      <c r="B26" s="114"/>
      <c r="C26" s="69"/>
      <c r="D26" s="69"/>
    </row>
    <row r="27" spans="1:4" ht="15">
      <c r="A27" s="73" t="s">
        <v>296</v>
      </c>
      <c r="B27" s="114"/>
      <c r="C27" s="55">
        <f>C16+C25</f>
        <v>454500</v>
      </c>
      <c r="D27" s="55">
        <f>D16+D25</f>
        <v>941700</v>
      </c>
    </row>
    <row r="28" spans="1:4" ht="15">
      <c r="A28" s="31"/>
      <c r="B28" s="114"/>
      <c r="C28" s="69"/>
      <c r="D28" s="69"/>
    </row>
    <row r="29" spans="1:4" ht="15">
      <c r="A29" s="71" t="s">
        <v>229</v>
      </c>
      <c r="B29" s="114">
        <v>19</v>
      </c>
      <c r="C29" s="48">
        <f>-91000+72000</f>
        <v>-19000</v>
      </c>
      <c r="D29" s="48">
        <v>-16000</v>
      </c>
    </row>
    <row r="30" spans="1:4" ht="15">
      <c r="A30" s="31"/>
      <c r="B30" s="114"/>
      <c r="C30" s="69"/>
      <c r="D30" s="69"/>
    </row>
    <row r="31" spans="1:4" ht="15">
      <c r="A31" s="73" t="s">
        <v>297</v>
      </c>
      <c r="B31" s="114"/>
      <c r="C31" s="55">
        <f>SUM(C27:C29)</f>
        <v>435500</v>
      </c>
      <c r="D31" s="55">
        <f>SUM(D27:D29)</f>
        <v>925700</v>
      </c>
    </row>
    <row r="32" ht="15">
      <c r="A32" s="31" t="s">
        <v>345</v>
      </c>
    </row>
    <row r="33" ht="15">
      <c r="A33" s="31" t="s">
        <v>346</v>
      </c>
    </row>
    <row r="34" ht="15">
      <c r="A34" s="31"/>
    </row>
    <row r="37" ht="15">
      <c r="A37" s="31" t="s">
        <v>347</v>
      </c>
    </row>
  </sheetData>
  <mergeCells count="4">
    <mergeCell ref="A20:B20"/>
    <mergeCell ref="A22:B22"/>
    <mergeCell ref="A23:B23"/>
    <mergeCell ref="A24:B24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C13" sqref="C13"/>
    </sheetView>
  </sheetViews>
  <sheetFormatPr defaultColWidth="9.140625" defaultRowHeight="12.75"/>
  <cols>
    <col min="1" max="1" width="42.57421875" style="19" customWidth="1"/>
    <col min="2" max="2" width="11.00390625" style="19" customWidth="1"/>
    <col min="3" max="3" width="11.421875" style="19" customWidth="1"/>
    <col min="4" max="16384" width="9.140625" style="19" customWidth="1"/>
  </cols>
  <sheetData>
    <row r="3" spans="1:2" ht="14.25">
      <c r="A3" s="137"/>
      <c r="B3" s="44">
        <v>2008</v>
      </c>
    </row>
    <row r="4" spans="1:2" ht="30">
      <c r="A4" s="34" t="s">
        <v>410</v>
      </c>
      <c r="B4" s="110">
        <v>3250000</v>
      </c>
    </row>
    <row r="5" spans="1:2" ht="15">
      <c r="A5" s="34" t="s">
        <v>411</v>
      </c>
      <c r="B5" s="110">
        <v>2500000</v>
      </c>
    </row>
    <row r="6" spans="1:2" ht="15">
      <c r="A6" s="34" t="s">
        <v>412</v>
      </c>
      <c r="B6" s="110">
        <v>950000</v>
      </c>
    </row>
    <row r="7" spans="1:2" ht="15">
      <c r="A7" s="34" t="s">
        <v>413</v>
      </c>
      <c r="B7" s="110">
        <v>780000</v>
      </c>
    </row>
    <row r="8" spans="1:2" ht="15">
      <c r="A8" s="109" t="s">
        <v>139</v>
      </c>
      <c r="B8" s="111">
        <v>5000</v>
      </c>
    </row>
    <row r="9" spans="1:2" ht="14.25">
      <c r="A9" s="41" t="s">
        <v>84</v>
      </c>
      <c r="B9" s="42">
        <f>SUM(B4:B8)</f>
        <v>7485000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E5" sqref="E5"/>
    </sheetView>
  </sheetViews>
  <sheetFormatPr defaultColWidth="9.140625" defaultRowHeight="12.75"/>
  <cols>
    <col min="1" max="1" width="4.28125" style="0" customWidth="1"/>
    <col min="2" max="2" width="41.8515625" style="0" customWidth="1"/>
  </cols>
  <sheetData>
    <row r="1" spans="1:5" ht="15.75">
      <c r="A1" s="197" t="s">
        <v>236</v>
      </c>
      <c r="B1" s="197"/>
      <c r="C1" s="197"/>
      <c r="D1" s="197"/>
      <c r="E1" s="197"/>
    </row>
    <row r="2" ht="12.75">
      <c r="A2" s="1" t="s">
        <v>191</v>
      </c>
    </row>
    <row r="3" ht="12.75">
      <c r="A3" s="1"/>
    </row>
    <row r="4" spans="1:5" ht="12.75">
      <c r="A4" s="4"/>
      <c r="B4" s="4"/>
      <c r="C4" s="7" t="s">
        <v>192</v>
      </c>
      <c r="D4" s="5">
        <v>2008</v>
      </c>
      <c r="E4" s="5">
        <v>2007</v>
      </c>
    </row>
    <row r="5" spans="1:5" ht="12.75">
      <c r="A5" s="195" t="s">
        <v>237</v>
      </c>
      <c r="B5" s="195"/>
      <c r="C5" s="6"/>
      <c r="D5" s="4"/>
      <c r="E5" s="4"/>
    </row>
    <row r="6" spans="1:5" ht="12.75">
      <c r="A6" s="196" t="s">
        <v>238</v>
      </c>
      <c r="B6" s="196"/>
      <c r="C6" s="6"/>
      <c r="D6" s="2"/>
      <c r="E6" s="2"/>
    </row>
    <row r="7" spans="1:5" ht="12.75">
      <c r="A7" s="196" t="s">
        <v>239</v>
      </c>
      <c r="B7" s="196"/>
      <c r="C7" s="6"/>
      <c r="D7" s="4"/>
      <c r="E7" s="4"/>
    </row>
    <row r="8" spans="1:5" ht="12.75">
      <c r="A8" s="4"/>
      <c r="B8" s="1" t="s">
        <v>222</v>
      </c>
      <c r="C8" s="6">
        <v>11</v>
      </c>
      <c r="D8" s="2"/>
      <c r="E8" s="2"/>
    </row>
    <row r="9" spans="1:5" ht="12.75">
      <c r="A9" s="4"/>
      <c r="B9" s="1" t="s">
        <v>240</v>
      </c>
      <c r="C9" s="6"/>
      <c r="D9" s="2"/>
      <c r="E9" s="2"/>
    </row>
    <row r="10" spans="1:5" ht="12.75">
      <c r="A10" s="196" t="s">
        <v>241</v>
      </c>
      <c r="B10" s="196"/>
      <c r="C10" s="6"/>
      <c r="D10" s="2"/>
      <c r="E10" s="2"/>
    </row>
    <row r="11" spans="1:5" ht="12.75">
      <c r="A11" s="196" t="s">
        <v>242</v>
      </c>
      <c r="B11" s="196"/>
      <c r="C11" s="6"/>
      <c r="D11" s="2"/>
      <c r="E11" s="2"/>
    </row>
    <row r="12" spans="1:5" ht="12.75">
      <c r="A12" s="196" t="s">
        <v>243</v>
      </c>
      <c r="B12" s="196"/>
      <c r="C12" s="6"/>
      <c r="D12" s="2"/>
      <c r="E12" s="2"/>
    </row>
    <row r="13" spans="1:5" ht="12.75">
      <c r="A13" s="196" t="s">
        <v>244</v>
      </c>
      <c r="B13" s="196"/>
      <c r="C13" s="6"/>
      <c r="D13" s="2"/>
      <c r="E13" s="2"/>
    </row>
    <row r="14" spans="1:5" ht="12.75">
      <c r="A14" s="196" t="s">
        <v>245</v>
      </c>
      <c r="B14" s="196"/>
      <c r="C14" s="6"/>
      <c r="D14" s="2"/>
      <c r="E14" s="4"/>
    </row>
    <row r="15" spans="1:5" ht="12.75">
      <c r="A15" s="195" t="s">
        <v>246</v>
      </c>
      <c r="B15" s="195"/>
      <c r="C15" s="6"/>
      <c r="D15" s="3">
        <f>SUM(D6:D14)</f>
        <v>0</v>
      </c>
      <c r="E15" s="3">
        <f>SUM(E6:E14)</f>
        <v>0</v>
      </c>
    </row>
    <row r="16" spans="1:5" ht="12.75">
      <c r="A16" s="4"/>
      <c r="B16" s="4"/>
      <c r="C16" s="6"/>
      <c r="D16" s="4"/>
      <c r="E16" s="4"/>
    </row>
    <row r="17" spans="1:5" ht="12.75">
      <c r="A17" s="195" t="s">
        <v>247</v>
      </c>
      <c r="B17" s="195"/>
      <c r="C17" s="6"/>
      <c r="D17" s="4"/>
      <c r="E17" s="4"/>
    </row>
    <row r="18" spans="1:5" ht="12.75">
      <c r="A18" s="196" t="s">
        <v>394</v>
      </c>
      <c r="B18" s="196"/>
      <c r="C18" s="6">
        <v>11</v>
      </c>
      <c r="D18" s="2"/>
      <c r="E18" s="2"/>
    </row>
    <row r="19" spans="1:5" ht="12.75">
      <c r="A19" s="196" t="s">
        <v>348</v>
      </c>
      <c r="B19" s="196"/>
      <c r="C19" s="6">
        <v>11</v>
      </c>
      <c r="D19" s="2"/>
      <c r="E19" s="2"/>
    </row>
    <row r="20" spans="1:5" ht="12.75">
      <c r="A20" s="196" t="s">
        <v>349</v>
      </c>
      <c r="B20" s="196"/>
      <c r="C20" s="6">
        <v>7</v>
      </c>
      <c r="D20" s="2"/>
      <c r="E20" s="2"/>
    </row>
    <row r="21" spans="1:5" ht="12.75">
      <c r="A21" s="196" t="s">
        <v>248</v>
      </c>
      <c r="B21" s="196"/>
      <c r="C21" s="6">
        <v>7</v>
      </c>
      <c r="D21" s="2"/>
      <c r="E21" s="4"/>
    </row>
    <row r="22" spans="1:5" ht="12.75">
      <c r="A22" s="196" t="s">
        <v>350</v>
      </c>
      <c r="B22" s="196"/>
      <c r="C22" s="6">
        <v>7</v>
      </c>
      <c r="D22" s="2"/>
      <c r="E22" s="4"/>
    </row>
    <row r="23" spans="1:5" ht="12.75">
      <c r="A23" s="196" t="s">
        <v>351</v>
      </c>
      <c r="B23" s="196"/>
      <c r="C23" s="6">
        <v>7</v>
      </c>
      <c r="D23" s="2"/>
      <c r="E23" s="2"/>
    </row>
    <row r="24" spans="1:5" ht="12.75">
      <c r="A24" s="1" t="s">
        <v>249</v>
      </c>
      <c r="B24" s="1"/>
      <c r="C24" s="6"/>
      <c r="D24" s="2"/>
      <c r="E24" s="2"/>
    </row>
    <row r="25" spans="1:5" ht="12.75">
      <c r="A25" s="196" t="s">
        <v>250</v>
      </c>
      <c r="B25" s="196"/>
      <c r="C25" s="6"/>
      <c r="D25" s="4"/>
      <c r="E25" s="4"/>
    </row>
    <row r="26" spans="1:5" ht="12.75">
      <c r="A26" s="196" t="s">
        <v>251</v>
      </c>
      <c r="B26" s="196"/>
      <c r="C26" s="6"/>
      <c r="D26" s="2"/>
      <c r="E26" s="2"/>
    </row>
    <row r="27" spans="1:5" ht="12.75">
      <c r="A27" s="196" t="s">
        <v>252</v>
      </c>
      <c r="B27" s="196"/>
      <c r="C27" s="6"/>
      <c r="D27" s="2"/>
      <c r="E27" s="4"/>
    </row>
    <row r="28" spans="1:5" ht="12.75">
      <c r="A28" s="196" t="s">
        <v>65</v>
      </c>
      <c r="B28" s="196"/>
      <c r="C28" s="6"/>
      <c r="D28" s="2"/>
      <c r="E28" s="2"/>
    </row>
    <row r="29" spans="1:5" ht="12.75">
      <c r="A29" s="196" t="s">
        <v>253</v>
      </c>
      <c r="B29" s="196"/>
      <c r="C29" s="6"/>
      <c r="D29" s="2"/>
      <c r="E29" s="4"/>
    </row>
    <row r="30" spans="1:5" ht="12.75">
      <c r="A30" s="195" t="s">
        <v>254</v>
      </c>
      <c r="B30" s="195"/>
      <c r="C30" s="6"/>
      <c r="D30" s="3">
        <f>SUM(D18:D29)</f>
        <v>0</v>
      </c>
      <c r="E30" s="3">
        <f>SUM(E18:E29)</f>
        <v>0</v>
      </c>
    </row>
    <row r="31" spans="1:5" ht="12.75">
      <c r="A31" s="4"/>
      <c r="B31" s="4"/>
      <c r="C31" s="6"/>
      <c r="D31" s="4"/>
      <c r="E31" s="4"/>
    </row>
    <row r="32" spans="1:5" ht="12.75">
      <c r="A32" s="195" t="s">
        <v>255</v>
      </c>
      <c r="B32" s="195"/>
      <c r="C32" s="6"/>
      <c r="D32" s="4"/>
      <c r="E32" s="4"/>
    </row>
    <row r="33" spans="1:5" ht="12.75">
      <c r="A33" s="196" t="s">
        <v>256</v>
      </c>
      <c r="B33" s="196"/>
      <c r="C33" s="6"/>
      <c r="D33" s="2"/>
      <c r="E33" s="2"/>
    </row>
    <row r="34" spans="1:5" ht="12.75">
      <c r="A34" s="196" t="s">
        <v>257</v>
      </c>
      <c r="B34" s="196"/>
      <c r="C34" s="6"/>
      <c r="D34" s="2"/>
      <c r="E34" s="2"/>
    </row>
    <row r="35" spans="1:5" ht="12.75">
      <c r="A35" s="196" t="s">
        <v>352</v>
      </c>
      <c r="B35" s="196"/>
      <c r="C35" s="6">
        <v>13</v>
      </c>
      <c r="D35" s="2"/>
      <c r="E35" s="2"/>
    </row>
    <row r="36" spans="1:5" ht="12.75">
      <c r="A36" s="196" t="s">
        <v>258</v>
      </c>
      <c r="B36" s="196"/>
      <c r="C36" s="6">
        <v>19</v>
      </c>
      <c r="D36" s="2"/>
      <c r="E36" s="4"/>
    </row>
    <row r="37" spans="1:5" ht="12.75">
      <c r="A37" s="196" t="s">
        <v>259</v>
      </c>
      <c r="B37" s="196"/>
      <c r="C37" s="6">
        <v>19</v>
      </c>
      <c r="D37" s="2"/>
      <c r="E37" s="4"/>
    </row>
    <row r="38" spans="1:5" ht="12.75">
      <c r="A38" s="196" t="s">
        <v>214</v>
      </c>
      <c r="B38" s="196"/>
      <c r="C38" s="6">
        <v>19</v>
      </c>
      <c r="D38" s="2"/>
      <c r="E38" s="2"/>
    </row>
    <row r="39" spans="1:5" ht="12.75">
      <c r="A39" s="195" t="s">
        <v>260</v>
      </c>
      <c r="B39" s="195"/>
      <c r="C39" s="6"/>
      <c r="D39" s="3">
        <f>SUM(D33:D38)</f>
        <v>0</v>
      </c>
      <c r="E39" s="3">
        <f>SUM(E33:E38)</f>
        <v>0</v>
      </c>
    </row>
    <row r="40" spans="1:5" ht="12.75">
      <c r="A40" s="4"/>
      <c r="B40" s="4"/>
      <c r="C40" s="6"/>
      <c r="D40" s="4"/>
      <c r="E40" s="4"/>
    </row>
    <row r="41" spans="1:5" ht="12.75">
      <c r="A41" s="195" t="s">
        <v>261</v>
      </c>
      <c r="B41" s="195"/>
      <c r="C41" s="6"/>
      <c r="D41" s="3">
        <f>D15+D30+D39</f>
        <v>0</v>
      </c>
      <c r="E41" s="3">
        <f>E15+E30+E39</f>
        <v>0</v>
      </c>
    </row>
    <row r="42" spans="1:5" ht="12.75">
      <c r="A42" s="4"/>
      <c r="B42" s="4"/>
      <c r="C42" s="6"/>
      <c r="D42" s="4"/>
      <c r="E42" s="4"/>
    </row>
    <row r="43" spans="1:5" ht="12.75">
      <c r="A43" s="195" t="s">
        <v>262</v>
      </c>
      <c r="B43" s="195"/>
      <c r="C43" s="6">
        <v>2</v>
      </c>
      <c r="D43" s="3"/>
      <c r="E43" s="3"/>
    </row>
    <row r="44" spans="1:5" ht="12.75">
      <c r="A44" s="195" t="s">
        <v>263</v>
      </c>
      <c r="B44" s="195"/>
      <c r="C44" s="6"/>
      <c r="D44" s="3">
        <f>D46-D43-D45</f>
        <v>0</v>
      </c>
      <c r="E44" s="3">
        <f>E46-E43-E45</f>
        <v>0</v>
      </c>
    </row>
    <row r="45" spans="1:5" ht="12.75">
      <c r="A45" s="1" t="s">
        <v>267</v>
      </c>
      <c r="B45" s="1"/>
      <c r="C45" s="6"/>
      <c r="D45" s="2"/>
      <c r="E45" s="2"/>
    </row>
    <row r="46" spans="1:5" ht="12.75">
      <c r="A46" s="195" t="s">
        <v>264</v>
      </c>
      <c r="B46" s="195"/>
      <c r="C46" s="6">
        <v>2</v>
      </c>
      <c r="D46" s="3"/>
      <c r="E46" s="3"/>
    </row>
    <row r="49" spans="4:6" ht="12.75">
      <c r="D49" s="11">
        <f>D41-D44</f>
        <v>0</v>
      </c>
      <c r="E49" s="11">
        <f>E41-E44</f>
        <v>0</v>
      </c>
      <c r="F49" t="s">
        <v>266</v>
      </c>
    </row>
  </sheetData>
  <mergeCells count="35">
    <mergeCell ref="A1:E1"/>
    <mergeCell ref="A5:B5"/>
    <mergeCell ref="A6:B6"/>
    <mergeCell ref="A7:B7"/>
    <mergeCell ref="A10:B10"/>
    <mergeCell ref="A11:B11"/>
    <mergeCell ref="A12:B12"/>
    <mergeCell ref="A13:B13"/>
    <mergeCell ref="A19:B19"/>
    <mergeCell ref="A20:B20"/>
    <mergeCell ref="A21:B21"/>
    <mergeCell ref="A14:B14"/>
    <mergeCell ref="A15:B15"/>
    <mergeCell ref="A17:B17"/>
    <mergeCell ref="A18:B18"/>
    <mergeCell ref="A22:B22"/>
    <mergeCell ref="A23:B23"/>
    <mergeCell ref="A25:B25"/>
    <mergeCell ref="A26:B26"/>
    <mergeCell ref="A27:B27"/>
    <mergeCell ref="A28:B28"/>
    <mergeCell ref="A29:B29"/>
    <mergeCell ref="A30:B30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3:B43"/>
    <mergeCell ref="A44:B44"/>
    <mergeCell ref="A46:B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24" sqref="A24"/>
    </sheetView>
  </sheetViews>
  <sheetFormatPr defaultColWidth="9.140625" defaultRowHeight="12.75" outlineLevelRow="1"/>
  <cols>
    <col min="1" max="1" width="38.421875" style="0" customWidth="1"/>
    <col min="2" max="2" width="10.140625" style="0" customWidth="1"/>
    <col min="3" max="3" width="8.421875" style="0" bestFit="1" customWidth="1"/>
    <col min="4" max="4" width="7.8515625" style="0" customWidth="1"/>
    <col min="5" max="5" width="8.57421875" style="0" customWidth="1"/>
    <col min="6" max="6" width="7.7109375" style="0" hidden="1" customWidth="1"/>
    <col min="7" max="7" width="10.7109375" style="0" customWidth="1"/>
    <col min="8" max="8" width="10.57421875" style="0" customWidth="1"/>
  </cols>
  <sheetData>
    <row r="1" ht="15.75">
      <c r="A1" s="8" t="s">
        <v>208</v>
      </c>
    </row>
    <row r="2" spans="1:5" ht="12.75">
      <c r="A2" s="1" t="s">
        <v>191</v>
      </c>
      <c r="B2" s="9"/>
      <c r="C2" s="10"/>
      <c r="D2" s="10"/>
      <c r="E2" s="10"/>
    </row>
    <row r="3" spans="1:8" ht="15" customHeight="1">
      <c r="A3" s="31"/>
      <c r="B3" s="198" t="s">
        <v>209</v>
      </c>
      <c r="C3" s="198" t="s">
        <v>203</v>
      </c>
      <c r="D3" s="198" t="s">
        <v>210</v>
      </c>
      <c r="E3" s="198" t="s">
        <v>211</v>
      </c>
      <c r="F3" s="198" t="s">
        <v>265</v>
      </c>
      <c r="G3" s="198" t="s">
        <v>353</v>
      </c>
      <c r="H3" s="201" t="s">
        <v>84</v>
      </c>
    </row>
    <row r="4" spans="1:8" ht="15">
      <c r="A4" s="31"/>
      <c r="B4" s="199"/>
      <c r="C4" s="199"/>
      <c r="D4" s="199"/>
      <c r="E4" s="199"/>
      <c r="F4" s="199"/>
      <c r="G4" s="199"/>
      <c r="H4" s="199"/>
    </row>
    <row r="5" spans="1:10" ht="32.25" customHeight="1">
      <c r="A5" s="69"/>
      <c r="B5" s="200"/>
      <c r="C5" s="200"/>
      <c r="D5" s="200"/>
      <c r="E5" s="200"/>
      <c r="F5" s="200"/>
      <c r="G5" s="200"/>
      <c r="H5" s="200"/>
      <c r="J5" s="190"/>
    </row>
    <row r="6" spans="1:8" ht="15">
      <c r="A6" s="69"/>
      <c r="B6" s="69"/>
      <c r="C6" s="69"/>
      <c r="D6" s="69"/>
      <c r="E6" s="69"/>
      <c r="F6" s="69"/>
      <c r="G6" s="69"/>
      <c r="H6" s="69"/>
    </row>
    <row r="7" spans="1:8" ht="15">
      <c r="A7" s="73" t="s">
        <v>355</v>
      </c>
      <c r="B7" s="138"/>
      <c r="C7" s="138"/>
      <c r="D7" s="138"/>
      <c r="E7" s="138"/>
      <c r="F7" s="138"/>
      <c r="G7" s="138"/>
      <c r="H7" s="138"/>
    </row>
    <row r="8" spans="1:8" ht="15">
      <c r="A8" s="71" t="s">
        <v>409</v>
      </c>
      <c r="B8" s="22">
        <v>600000</v>
      </c>
      <c r="C8" s="22">
        <v>100000</v>
      </c>
      <c r="D8" s="22">
        <v>0</v>
      </c>
      <c r="E8" s="22">
        <v>52000</v>
      </c>
      <c r="F8" s="22">
        <v>0</v>
      </c>
      <c r="G8" s="22">
        <f>1534000+150000+7500</f>
        <v>1691500</v>
      </c>
      <c r="H8" s="55">
        <f>SUM(B8:G8)</f>
        <v>2443500</v>
      </c>
    </row>
    <row r="9" spans="1:8" ht="15">
      <c r="A9" s="71" t="s">
        <v>212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-35000</v>
      </c>
      <c r="H9" s="55">
        <f>SUM(B9:G9)</f>
        <v>-35000</v>
      </c>
    </row>
    <row r="10" spans="1:10" ht="14.25">
      <c r="A10" s="73" t="s">
        <v>414</v>
      </c>
      <c r="B10" s="55">
        <f aca="true" t="shared" si="0" ref="B10:H10">SUM(B8:B9)</f>
        <v>600000</v>
      </c>
      <c r="C10" s="55">
        <f t="shared" si="0"/>
        <v>100000</v>
      </c>
      <c r="D10" s="55">
        <f t="shared" si="0"/>
        <v>0</v>
      </c>
      <c r="E10" s="55">
        <f t="shared" si="0"/>
        <v>52000</v>
      </c>
      <c r="F10" s="55">
        <f t="shared" si="0"/>
        <v>0</v>
      </c>
      <c r="G10" s="55">
        <f t="shared" si="0"/>
        <v>1656500</v>
      </c>
      <c r="H10" s="55">
        <f t="shared" si="0"/>
        <v>2408500</v>
      </c>
      <c r="J10" s="12"/>
    </row>
    <row r="11" spans="1:8" ht="15">
      <c r="A11" s="31"/>
      <c r="B11" s="48"/>
      <c r="C11" s="48"/>
      <c r="D11" s="48"/>
      <c r="E11" s="48"/>
      <c r="F11" s="48"/>
      <c r="G11" s="48"/>
      <c r="H11" s="48"/>
    </row>
    <row r="12" spans="1:8" ht="15">
      <c r="A12" s="139" t="s">
        <v>354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925700</v>
      </c>
      <c r="H12" s="55">
        <f>SUM(B12:G12)</f>
        <v>925700</v>
      </c>
    </row>
    <row r="13" spans="1:8" ht="15">
      <c r="A13" s="71" t="s">
        <v>214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-50000</v>
      </c>
      <c r="H13" s="55">
        <f>SUM(B13:G13)</f>
        <v>-50000</v>
      </c>
    </row>
    <row r="14" spans="1:8" ht="15">
      <c r="A14" s="71" t="s">
        <v>213</v>
      </c>
      <c r="B14" s="22">
        <v>0</v>
      </c>
      <c r="C14" s="22">
        <v>0</v>
      </c>
      <c r="D14" s="22">
        <v>0</v>
      </c>
      <c r="E14" s="22">
        <v>8000</v>
      </c>
      <c r="F14" s="22">
        <v>0</v>
      </c>
      <c r="G14" s="22">
        <v>-8000</v>
      </c>
      <c r="H14" s="55">
        <f>SUM(B14:G14)</f>
        <v>0</v>
      </c>
    </row>
    <row r="15" spans="1:8" ht="15">
      <c r="A15" s="31"/>
      <c r="B15" s="48"/>
      <c r="C15" s="48"/>
      <c r="D15" s="48"/>
      <c r="E15" s="48"/>
      <c r="F15" s="48"/>
      <c r="G15" s="48"/>
      <c r="H15" s="48"/>
    </row>
    <row r="16" spans="1:10" ht="14.25">
      <c r="A16" s="73" t="s">
        <v>403</v>
      </c>
      <c r="B16" s="50">
        <f aca="true" t="shared" si="1" ref="B16:G16">SUM(B10:B14)</f>
        <v>600000</v>
      </c>
      <c r="C16" s="50">
        <f t="shared" si="1"/>
        <v>100000</v>
      </c>
      <c r="D16" s="50">
        <f t="shared" si="1"/>
        <v>0</v>
      </c>
      <c r="E16" s="50">
        <f t="shared" si="1"/>
        <v>60000</v>
      </c>
      <c r="F16" s="50">
        <f t="shared" si="1"/>
        <v>0</v>
      </c>
      <c r="G16" s="50">
        <f t="shared" si="1"/>
        <v>2524200</v>
      </c>
      <c r="H16" s="55">
        <f aca="true" t="shared" si="2" ref="H16:H21">SUM(B16:G16)</f>
        <v>3284200</v>
      </c>
      <c r="J16" s="12"/>
    </row>
    <row r="17" spans="1:10" ht="15">
      <c r="A17" s="71" t="s">
        <v>217</v>
      </c>
      <c r="B17" s="14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435500</v>
      </c>
      <c r="H17" s="140">
        <f t="shared" si="2"/>
        <v>435500</v>
      </c>
      <c r="J17" s="12"/>
    </row>
    <row r="18" spans="1:8" ht="15">
      <c r="A18" s="71" t="s">
        <v>214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191">
        <f>-216200+152500</f>
        <v>-63700</v>
      </c>
      <c r="H18" s="140">
        <f t="shared" si="2"/>
        <v>-63700</v>
      </c>
    </row>
    <row r="19" spans="1:8" ht="15">
      <c r="A19" s="71" t="s">
        <v>213</v>
      </c>
      <c r="B19" s="22"/>
      <c r="C19" s="22"/>
      <c r="D19" s="22"/>
      <c r="E19" s="22">
        <v>0</v>
      </c>
      <c r="F19" s="22"/>
      <c r="G19" s="22"/>
      <c r="H19" s="140">
        <f t="shared" si="2"/>
        <v>0</v>
      </c>
    </row>
    <row r="20" spans="1:8" ht="15">
      <c r="A20" s="71" t="s">
        <v>215</v>
      </c>
      <c r="B20" s="22">
        <v>154000</v>
      </c>
      <c r="C20" s="22">
        <v>50000</v>
      </c>
      <c r="D20" s="22">
        <v>0</v>
      </c>
      <c r="E20" s="22">
        <v>0</v>
      </c>
      <c r="F20" s="22">
        <v>0</v>
      </c>
      <c r="G20" s="22">
        <v>0</v>
      </c>
      <c r="H20" s="140">
        <f t="shared" si="2"/>
        <v>204000</v>
      </c>
    </row>
    <row r="21" spans="1:8" ht="15">
      <c r="A21" s="71" t="s">
        <v>216</v>
      </c>
      <c r="B21" s="22">
        <v>0</v>
      </c>
      <c r="C21" s="22">
        <v>0</v>
      </c>
      <c r="D21" s="22">
        <v>-90000</v>
      </c>
      <c r="E21" s="22">
        <v>0</v>
      </c>
      <c r="F21" s="22">
        <v>0</v>
      </c>
      <c r="G21" s="22">
        <v>0</v>
      </c>
      <c r="H21" s="140">
        <f t="shared" si="2"/>
        <v>-90000</v>
      </c>
    </row>
    <row r="23" spans="1:8" ht="14.25">
      <c r="A23" s="73" t="s">
        <v>415</v>
      </c>
      <c r="B23" s="55">
        <f aca="true" t="shared" si="3" ref="B23:G23">SUM(B16:B21)</f>
        <v>754000</v>
      </c>
      <c r="C23" s="55">
        <f t="shared" si="3"/>
        <v>150000</v>
      </c>
      <c r="D23" s="55">
        <f t="shared" si="3"/>
        <v>-90000</v>
      </c>
      <c r="E23" s="55">
        <f t="shared" si="3"/>
        <v>60000</v>
      </c>
      <c r="F23" s="55">
        <f t="shared" si="3"/>
        <v>0</v>
      </c>
      <c r="G23" s="55">
        <f t="shared" si="3"/>
        <v>2896000</v>
      </c>
      <c r="H23" s="55">
        <f>SUM(B23:G23)</f>
        <v>3770000</v>
      </c>
    </row>
    <row r="25" ht="12.75" hidden="1" outlineLevel="1">
      <c r="H25">
        <v>3770000</v>
      </c>
    </row>
    <row r="26" ht="12.75" hidden="1" outlineLevel="1">
      <c r="H26" s="12">
        <f>H25-H23</f>
        <v>0</v>
      </c>
    </row>
    <row r="27" spans="5:7" ht="12.75" hidden="1" outlineLevel="1">
      <c r="E27" t="s">
        <v>399</v>
      </c>
      <c r="G27">
        <f>G16*0.77</f>
        <v>1943634</v>
      </c>
    </row>
    <row r="28" spans="5:8" ht="12.75" hidden="1" outlineLevel="1">
      <c r="E28" t="s">
        <v>398</v>
      </c>
      <c r="G28" s="12">
        <f>G16-G27</f>
        <v>580566</v>
      </c>
      <c r="H28" s="12"/>
    </row>
    <row r="29" ht="12.75" hidden="1" outlineLevel="1"/>
    <row r="30" spans="2:7" ht="12.75" hidden="1" outlineLevel="1">
      <c r="B30" t="s">
        <v>400</v>
      </c>
      <c r="C30">
        <f>B23*0.1-E23</f>
        <v>15400</v>
      </c>
      <c r="E30" t="s">
        <v>402</v>
      </c>
      <c r="G30">
        <f>0.78*(G23-C30)</f>
        <v>2246868</v>
      </c>
    </row>
    <row r="31" spans="5:7" ht="12.75" hidden="1" outlineLevel="1">
      <c r="E31" t="s">
        <v>398</v>
      </c>
      <c r="G31" s="12">
        <f>G30*22/78</f>
        <v>633732</v>
      </c>
    </row>
    <row r="32" ht="12.75" hidden="1" outlineLevel="1">
      <c r="G32" s="12">
        <f>C30+G30+G31</f>
        <v>2896000</v>
      </c>
    </row>
    <row r="33" ht="12.75" hidden="1" outlineLevel="1"/>
    <row r="34" spans="5:7" ht="12.75" hidden="1" outlineLevel="1">
      <c r="E34" t="s">
        <v>401</v>
      </c>
      <c r="G34" s="12">
        <f>G23-C30</f>
        <v>2880600</v>
      </c>
    </row>
    <row r="35" ht="12.75" hidden="1" outlineLevel="1"/>
    <row r="36" ht="12.75" hidden="1" outlineLevel="1">
      <c r="G36" s="12">
        <f>G34-G32</f>
        <v>-15400</v>
      </c>
    </row>
    <row r="37" ht="12.75" collapsed="1"/>
  </sheetData>
  <mergeCells count="7">
    <mergeCell ref="B3:B5"/>
    <mergeCell ref="C3:C5"/>
    <mergeCell ref="D3:D5"/>
    <mergeCell ref="H3:H5"/>
    <mergeCell ref="E3:E5"/>
    <mergeCell ref="F3:F5"/>
    <mergeCell ref="G3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C4" sqref="C4"/>
    </sheetView>
  </sheetViews>
  <sheetFormatPr defaultColWidth="9.140625" defaultRowHeight="12.75"/>
  <cols>
    <col min="1" max="1" width="34.140625" style="19" customWidth="1"/>
    <col min="2" max="2" width="11.7109375" style="19" customWidth="1"/>
    <col min="3" max="3" width="11.421875" style="19" customWidth="1"/>
    <col min="4" max="16384" width="9.140625" style="19" customWidth="1"/>
  </cols>
  <sheetData>
    <row r="1" spans="1:4" ht="14.25">
      <c r="A1" s="17" t="s">
        <v>3</v>
      </c>
      <c r="B1" s="202" t="s">
        <v>322</v>
      </c>
      <c r="C1" s="202"/>
      <c r="D1" s="18"/>
    </row>
    <row r="2" spans="1:4" ht="15">
      <c r="A2" s="20"/>
      <c r="B2" s="18"/>
      <c r="C2" s="18"/>
      <c r="D2" s="18"/>
    </row>
    <row r="3" spans="1:4" ht="15">
      <c r="A3" s="100"/>
      <c r="B3" s="13">
        <v>39813</v>
      </c>
      <c r="C3" s="13">
        <v>39447</v>
      </c>
      <c r="D3" s="18"/>
    </row>
    <row r="4" spans="1:4" ht="15">
      <c r="A4" s="100" t="s">
        <v>0</v>
      </c>
      <c r="B4" s="14">
        <v>15000</v>
      </c>
      <c r="C4" s="14">
        <v>25000</v>
      </c>
      <c r="D4" s="18"/>
    </row>
    <row r="5" spans="1:4" ht="15">
      <c r="A5" s="100" t="s">
        <v>1</v>
      </c>
      <c r="B5" s="14">
        <v>850000</v>
      </c>
      <c r="C5" s="14">
        <v>800000</v>
      </c>
      <c r="D5" s="18"/>
    </row>
    <row r="6" spans="1:4" ht="15">
      <c r="A6" s="100" t="s">
        <v>2</v>
      </c>
      <c r="B6" s="49">
        <v>55000</v>
      </c>
      <c r="C6" s="49">
        <v>45000</v>
      </c>
      <c r="D6" s="18"/>
    </row>
    <row r="7" spans="1:3" ht="14.25">
      <c r="A7" s="15" t="s">
        <v>324</v>
      </c>
      <c r="B7" s="16">
        <f>SUM(B4:B6)</f>
        <v>920000</v>
      </c>
      <c r="C7" s="16">
        <f>SUM(C4:C6)</f>
        <v>870000</v>
      </c>
    </row>
    <row r="10" spans="1:3" ht="14.25">
      <c r="A10" s="21"/>
      <c r="B10" s="21"/>
      <c r="C10" s="21"/>
    </row>
    <row r="11" spans="1:3" ht="15">
      <c r="A11" s="23"/>
      <c r="B11" s="18"/>
      <c r="C11" s="18"/>
    </row>
    <row r="12" spans="1:3" ht="15">
      <c r="A12" s="24"/>
      <c r="B12" s="25"/>
      <c r="C12" s="25"/>
    </row>
    <row r="13" spans="1:3" ht="15">
      <c r="A13" s="26"/>
      <c r="B13" s="27"/>
      <c r="C13" s="27"/>
    </row>
    <row r="14" spans="1:3" ht="15">
      <c r="A14" s="24"/>
      <c r="B14" s="27"/>
      <c r="C14" s="27"/>
    </row>
    <row r="15" spans="1:3" ht="15">
      <c r="A15" s="24"/>
      <c r="B15" s="14"/>
      <c r="C15" s="14"/>
    </row>
    <row r="16" spans="1:3" ht="15">
      <c r="A16" s="24"/>
      <c r="B16" s="14"/>
      <c r="C16" s="14"/>
    </row>
    <row r="17" spans="1:3" ht="15">
      <c r="A17" s="24"/>
      <c r="B17" s="14"/>
      <c r="C17" s="14"/>
    </row>
    <row r="18" spans="1:3" ht="15">
      <c r="A18" s="24"/>
      <c r="B18" s="27"/>
      <c r="C18" s="27"/>
    </row>
    <row r="19" spans="1:3" ht="14.25">
      <c r="A19" s="26"/>
      <c r="B19" s="16"/>
      <c r="C19" s="16"/>
    </row>
    <row r="20" spans="1:3" ht="15">
      <c r="A20" s="24"/>
      <c r="B20" s="27"/>
      <c r="C20" s="27"/>
    </row>
    <row r="21" spans="1:3" ht="15">
      <c r="A21" s="26"/>
      <c r="B21" s="27"/>
      <c r="C21" s="27"/>
    </row>
    <row r="22" spans="1:3" ht="15">
      <c r="A22" s="24"/>
      <c r="B22" s="27"/>
      <c r="C22" s="27"/>
    </row>
    <row r="23" spans="1:3" ht="15">
      <c r="A23" s="24"/>
      <c r="B23" s="14"/>
      <c r="C23" s="14"/>
    </row>
    <row r="24" spans="1:3" ht="15">
      <c r="A24" s="24"/>
      <c r="B24" s="14"/>
      <c r="C24" s="14"/>
    </row>
    <row r="25" spans="1:3" ht="14.25">
      <c r="A25" s="26"/>
      <c r="B25" s="16"/>
      <c r="C25" s="16"/>
    </row>
    <row r="26" spans="1:3" ht="15">
      <c r="A26" s="24"/>
      <c r="B26" s="27"/>
      <c r="C26" s="27"/>
    </row>
    <row r="27" spans="1:3" ht="15">
      <c r="A27" s="24"/>
      <c r="B27" s="14"/>
      <c r="C27" s="14"/>
    </row>
    <row r="28" spans="1:3" ht="12.75" customHeight="1">
      <c r="A28" s="26"/>
      <c r="B28" s="16"/>
      <c r="C28" s="16"/>
    </row>
    <row r="29" spans="1:3" ht="15">
      <c r="A29" s="24"/>
      <c r="B29" s="27"/>
      <c r="C29" s="27"/>
    </row>
    <row r="30" spans="1:3" ht="13.5" customHeight="1">
      <c r="A30" s="26"/>
      <c r="B30" s="16"/>
      <c r="C30" s="16"/>
    </row>
    <row r="31" spans="1:3" ht="15">
      <c r="A31" s="24"/>
      <c r="B31" s="27"/>
      <c r="C31" s="27"/>
    </row>
    <row r="32" spans="1:3" ht="15">
      <c r="A32" s="24"/>
      <c r="B32" s="28"/>
      <c r="C32" s="28"/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C4" sqref="C4"/>
    </sheetView>
  </sheetViews>
  <sheetFormatPr defaultColWidth="9.140625" defaultRowHeight="12.75"/>
  <cols>
    <col min="1" max="1" width="41.28125" style="19" customWidth="1"/>
    <col min="2" max="2" width="16.421875" style="19" customWidth="1"/>
    <col min="3" max="3" width="16.140625" style="19" customWidth="1"/>
    <col min="4" max="16384" width="9.140625" style="19" customWidth="1"/>
  </cols>
  <sheetData>
    <row r="1" spans="1:4" ht="14.25">
      <c r="A1" s="17" t="s">
        <v>16</v>
      </c>
      <c r="B1" s="203" t="s">
        <v>396</v>
      </c>
      <c r="C1" s="203"/>
      <c r="D1" s="18"/>
    </row>
    <row r="2" spans="1:4" ht="15">
      <c r="A2" s="102"/>
      <c r="B2" s="18"/>
      <c r="C2" s="18"/>
      <c r="D2" s="18"/>
    </row>
    <row r="3" spans="1:4" ht="15">
      <c r="A3" s="24"/>
      <c r="B3" s="25">
        <v>39813</v>
      </c>
      <c r="C3" s="25">
        <v>39447</v>
      </c>
      <c r="D3" s="18"/>
    </row>
    <row r="4" spans="1:3" ht="15">
      <c r="A4" s="155" t="s">
        <v>4</v>
      </c>
      <c r="B4" s="27"/>
      <c r="C4" s="27"/>
    </row>
    <row r="5" spans="1:3" ht="15">
      <c r="A5" s="24"/>
      <c r="B5" s="27"/>
      <c r="C5" s="27"/>
    </row>
    <row r="6" spans="1:3" ht="15">
      <c r="A6" s="24" t="s">
        <v>5</v>
      </c>
      <c r="B6" s="14">
        <v>60000</v>
      </c>
      <c r="C6" s="14">
        <v>32000</v>
      </c>
    </row>
    <row r="7" spans="1:3" ht="15">
      <c r="A7" s="24" t="s">
        <v>6</v>
      </c>
      <c r="B7" s="14">
        <v>40000</v>
      </c>
      <c r="C7" s="14">
        <v>19000</v>
      </c>
    </row>
    <row r="8" spans="1:3" ht="15">
      <c r="A8" s="24" t="s">
        <v>7</v>
      </c>
      <c r="B8" s="49">
        <v>16500</v>
      </c>
      <c r="C8" s="49">
        <v>1000</v>
      </c>
    </row>
    <row r="9" spans="1:3" ht="28.5">
      <c r="A9" s="26" t="s">
        <v>366</v>
      </c>
      <c r="B9" s="16">
        <f>SUM(B6:B8)</f>
        <v>116500</v>
      </c>
      <c r="C9" s="16">
        <f>SUM(C6:C8)</f>
        <v>52000</v>
      </c>
    </row>
    <row r="10" spans="1:3" ht="14.25">
      <c r="A10" s="26"/>
      <c r="B10" s="16"/>
      <c r="C10" s="16"/>
    </row>
    <row r="11" spans="1:3" ht="9.75" customHeight="1">
      <c r="A11" s="24"/>
      <c r="B11" s="27"/>
      <c r="C11" s="27"/>
    </row>
    <row r="12" spans="1:3" ht="15">
      <c r="A12" s="155" t="s">
        <v>8</v>
      </c>
      <c r="B12" s="27"/>
      <c r="C12" s="27"/>
    </row>
    <row r="13" spans="1:3" ht="9" customHeight="1">
      <c r="A13" s="24"/>
      <c r="B13" s="27"/>
      <c r="C13" s="27"/>
    </row>
    <row r="14" spans="1:3" ht="15">
      <c r="A14" s="24" t="s">
        <v>5</v>
      </c>
      <c r="B14" s="14">
        <v>12000</v>
      </c>
      <c r="C14" s="14">
        <v>5000</v>
      </c>
    </row>
    <row r="15" spans="1:3" ht="15">
      <c r="A15" s="24" t="s">
        <v>9</v>
      </c>
      <c r="B15" s="14">
        <v>5500</v>
      </c>
      <c r="C15" s="14">
        <v>2000</v>
      </c>
    </row>
    <row r="16" spans="1:3" ht="14.25">
      <c r="A16" s="26" t="s">
        <v>10</v>
      </c>
      <c r="B16" s="16">
        <f>B14+B15</f>
        <v>17500</v>
      </c>
      <c r="C16" s="16">
        <f>C14+C15</f>
        <v>7000</v>
      </c>
    </row>
    <row r="17" spans="1:3" ht="9" customHeight="1">
      <c r="A17" s="24"/>
      <c r="B17" s="27"/>
      <c r="C17" s="27"/>
    </row>
    <row r="18" spans="1:3" ht="30">
      <c r="A18" s="24" t="s">
        <v>11</v>
      </c>
      <c r="B18" s="14">
        <v>2500</v>
      </c>
      <c r="C18" s="14">
        <v>6800</v>
      </c>
    </row>
    <row r="19" spans="1:3" ht="14.25">
      <c r="A19" s="26" t="s">
        <v>12</v>
      </c>
      <c r="B19" s="16">
        <v>2500</v>
      </c>
      <c r="C19" s="16">
        <f>SUM(C18)</f>
        <v>6800</v>
      </c>
    </row>
    <row r="20" spans="1:3" ht="10.5" customHeight="1">
      <c r="A20" s="24"/>
      <c r="B20" s="78"/>
      <c r="C20" s="78"/>
    </row>
    <row r="21" spans="1:3" ht="28.5">
      <c r="A21" s="26" t="s">
        <v>388</v>
      </c>
      <c r="B21" s="16">
        <f>B16+B19</f>
        <v>20000</v>
      </c>
      <c r="C21" s="16">
        <f>C16+C19</f>
        <v>13800</v>
      </c>
    </row>
    <row r="22" spans="1:3" ht="13.5" customHeight="1">
      <c r="A22" s="26"/>
      <c r="B22" s="16"/>
      <c r="C22" s="16"/>
    </row>
    <row r="23" spans="1:3" ht="9" customHeight="1">
      <c r="A23" s="24"/>
      <c r="B23" s="27"/>
      <c r="C23" s="27"/>
    </row>
    <row r="24" spans="1:6" ht="30">
      <c r="A24" s="24" t="s">
        <v>13</v>
      </c>
      <c r="B24" s="28" t="s">
        <v>14</v>
      </c>
      <c r="C24" s="28" t="s">
        <v>15</v>
      </c>
      <c r="F24" s="101"/>
    </row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9" sqref="A9"/>
    </sheetView>
  </sheetViews>
  <sheetFormatPr defaultColWidth="9.140625" defaultRowHeight="12.75"/>
  <cols>
    <col min="1" max="1" width="61.00390625" style="19" customWidth="1"/>
    <col min="2" max="2" width="11.57421875" style="19" customWidth="1"/>
    <col min="3" max="3" width="11.8515625" style="19" customWidth="1"/>
    <col min="4" max="16384" width="9.140625" style="19" customWidth="1"/>
  </cols>
  <sheetData>
    <row r="1" spans="1:3" ht="14.25">
      <c r="A1" s="29" t="s">
        <v>20</v>
      </c>
      <c r="B1" s="204" t="s">
        <v>327</v>
      </c>
      <c r="C1" s="204"/>
    </row>
    <row r="2" ht="15">
      <c r="A2" s="31"/>
    </row>
    <row r="3" spans="1:3" ht="15">
      <c r="A3" s="156"/>
      <c r="B3" s="33">
        <v>39813</v>
      </c>
      <c r="C3" s="33">
        <v>39447</v>
      </c>
    </row>
    <row r="4" spans="1:3" ht="15">
      <c r="A4" s="34" t="s">
        <v>17</v>
      </c>
      <c r="B4" s="35">
        <f>540000+290000</f>
        <v>830000</v>
      </c>
      <c r="C4" s="35">
        <f>500000+164500-24000-12000</f>
        <v>628500</v>
      </c>
    </row>
    <row r="5" spans="1:3" ht="15">
      <c r="A5" s="34" t="s">
        <v>18</v>
      </c>
      <c r="B5" s="160">
        <v>-260000</v>
      </c>
      <c r="C5" s="160">
        <v>-60000</v>
      </c>
    </row>
    <row r="6" spans="1:3" ht="14.25">
      <c r="A6" s="157" t="s">
        <v>19</v>
      </c>
      <c r="B6" s="159">
        <f>B4+B5</f>
        <v>570000</v>
      </c>
      <c r="C6" s="159">
        <f>C4+C5</f>
        <v>568500</v>
      </c>
    </row>
    <row r="7" spans="1:3" ht="14.25">
      <c r="A7" s="38"/>
      <c r="B7" s="38"/>
      <c r="C7" s="38"/>
    </row>
    <row r="8" spans="1:3" ht="15">
      <c r="A8" s="39" t="s">
        <v>182</v>
      </c>
      <c r="B8" s="35">
        <v>35000</v>
      </c>
      <c r="C8" s="40">
        <v>0</v>
      </c>
    </row>
    <row r="9" spans="1:3" ht="15">
      <c r="A9" s="142" t="s">
        <v>397</v>
      </c>
      <c r="B9" s="158">
        <f>SUM(B10:B12)</f>
        <v>55000</v>
      </c>
      <c r="C9" s="158">
        <f>SUM(C10:C12)</f>
        <v>34500</v>
      </c>
    </row>
    <row r="10" spans="1:3" ht="15" customHeight="1">
      <c r="A10" s="181" t="s">
        <v>431</v>
      </c>
      <c r="B10" s="182">
        <v>45000</v>
      </c>
      <c r="C10" s="183">
        <v>17000</v>
      </c>
    </row>
    <row r="11" spans="1:3" ht="15">
      <c r="A11" s="184" t="s">
        <v>364</v>
      </c>
      <c r="B11" s="185">
        <v>1000</v>
      </c>
      <c r="C11" s="185">
        <v>10000</v>
      </c>
    </row>
    <row r="12" spans="1:3" ht="15">
      <c r="A12" s="184" t="s">
        <v>365</v>
      </c>
      <c r="B12" s="185">
        <v>9000</v>
      </c>
      <c r="C12" s="185">
        <v>7500</v>
      </c>
    </row>
    <row r="13" spans="1:3" ht="15">
      <c r="A13" s="34" t="s">
        <v>21</v>
      </c>
      <c r="B13" s="160">
        <v>10000</v>
      </c>
      <c r="C13" s="160">
        <v>1500</v>
      </c>
    </row>
    <row r="14" spans="1:3" ht="14.25">
      <c r="A14" s="180" t="s">
        <v>387</v>
      </c>
      <c r="B14" s="159">
        <f>B8+B9+B13</f>
        <v>100000</v>
      </c>
      <c r="C14" s="159">
        <f>C8+C9+C13</f>
        <v>36000</v>
      </c>
    </row>
    <row r="15" spans="1:3" ht="14.25">
      <c r="A15" s="157" t="s">
        <v>363</v>
      </c>
      <c r="B15" s="159">
        <f>B6+B8+B9+B13</f>
        <v>670000</v>
      </c>
      <c r="C15" s="159">
        <f>C6+C8+C9+C13</f>
        <v>604500</v>
      </c>
    </row>
    <row r="16" spans="1:3" ht="15">
      <c r="A16" s="31"/>
      <c r="B16" s="31"/>
      <c r="C16" s="31"/>
    </row>
    <row r="17" spans="1:3" ht="15">
      <c r="A17" s="31"/>
      <c r="B17" s="31"/>
      <c r="C17" s="31"/>
    </row>
    <row r="18" spans="1:3" ht="15">
      <c r="A18" s="31"/>
      <c r="B18" s="31"/>
      <c r="C18" s="31"/>
    </row>
    <row r="19" spans="1:3" ht="15">
      <c r="A19" s="31"/>
      <c r="B19" s="31"/>
      <c r="C19" s="31"/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26" sqref="E26"/>
    </sheetView>
  </sheetViews>
  <sheetFormatPr defaultColWidth="9.140625" defaultRowHeight="12.75"/>
  <cols>
    <col min="1" max="1" width="23.28125" style="19" customWidth="1"/>
    <col min="2" max="2" width="10.7109375" style="19" customWidth="1"/>
    <col min="3" max="3" width="9.140625" style="19" customWidth="1"/>
    <col min="4" max="4" width="10.57421875" style="19" customWidth="1"/>
    <col min="5" max="16384" width="9.140625" style="19" customWidth="1"/>
  </cols>
  <sheetData>
    <row r="1" spans="1:2" ht="14.25">
      <c r="A1" s="29" t="s">
        <v>22</v>
      </c>
      <c r="B1" s="29" t="s">
        <v>23</v>
      </c>
    </row>
    <row r="2" ht="15">
      <c r="A2" s="31"/>
    </row>
    <row r="3" spans="1:5" ht="12.75" customHeight="1">
      <c r="A3" s="43"/>
      <c r="B3" s="205">
        <v>39813</v>
      </c>
      <c r="C3" s="205"/>
      <c r="D3" s="205">
        <v>39447</v>
      </c>
      <c r="E3" s="205"/>
    </row>
    <row r="4" spans="1:5" ht="15">
      <c r="A4" s="32"/>
      <c r="B4" s="44" t="s">
        <v>24</v>
      </c>
      <c r="C4" s="44" t="s">
        <v>25</v>
      </c>
      <c r="D4" s="44" t="s">
        <v>24</v>
      </c>
      <c r="E4" s="44" t="s">
        <v>25</v>
      </c>
    </row>
    <row r="5" spans="1:5" ht="15">
      <c r="A5" s="45" t="s">
        <v>26</v>
      </c>
      <c r="B5" s="35">
        <v>35000</v>
      </c>
      <c r="C5" s="40">
        <v>0</v>
      </c>
      <c r="D5" s="40">
        <v>0</v>
      </c>
      <c r="E5" s="35">
        <v>64000</v>
      </c>
    </row>
    <row r="6" spans="1:5" ht="15">
      <c r="A6" s="45" t="s">
        <v>27</v>
      </c>
      <c r="B6" s="40">
        <v>0</v>
      </c>
      <c r="C6" s="40">
        <v>0</v>
      </c>
      <c r="D6" s="40">
        <v>0</v>
      </c>
      <c r="E6" s="35">
        <v>25000</v>
      </c>
    </row>
    <row r="7" spans="1:5" ht="15">
      <c r="A7" s="45" t="s">
        <v>28</v>
      </c>
      <c r="B7" s="40">
        <v>0</v>
      </c>
      <c r="C7" s="35">
        <v>39000</v>
      </c>
      <c r="D7" s="40">
        <v>0</v>
      </c>
      <c r="E7" s="35">
        <v>35000</v>
      </c>
    </row>
    <row r="8" spans="1:5" ht="15">
      <c r="A8" s="45" t="s">
        <v>29</v>
      </c>
      <c r="B8" s="40">
        <v>0</v>
      </c>
      <c r="C8" s="35">
        <v>48500</v>
      </c>
      <c r="D8" s="40">
        <v>0</v>
      </c>
      <c r="E8" s="35">
        <v>44000</v>
      </c>
    </row>
    <row r="9" spans="1:5" ht="15">
      <c r="A9" s="45" t="s">
        <v>30</v>
      </c>
      <c r="B9" s="40">
        <v>0</v>
      </c>
      <c r="C9" s="35">
        <v>3000</v>
      </c>
      <c r="D9" s="40">
        <v>0</v>
      </c>
      <c r="E9" s="35">
        <v>2800</v>
      </c>
    </row>
    <row r="10" spans="1:5" ht="15">
      <c r="A10" s="163" t="s">
        <v>31</v>
      </c>
      <c r="B10" s="164">
        <v>0</v>
      </c>
      <c r="C10" s="160">
        <v>1500</v>
      </c>
      <c r="D10" s="164">
        <v>0</v>
      </c>
      <c r="E10" s="160">
        <v>1200</v>
      </c>
    </row>
    <row r="11" spans="1:5" ht="14.25">
      <c r="A11" s="161" t="s">
        <v>84</v>
      </c>
      <c r="B11" s="162">
        <f>SUM(B5:B10)</f>
        <v>35000</v>
      </c>
      <c r="C11" s="162">
        <f>SUM(C5:C10)</f>
        <v>92000</v>
      </c>
      <c r="D11" s="162">
        <f>SUM(D5:D10)</f>
        <v>0</v>
      </c>
      <c r="E11" s="162">
        <f>SUM(E5:E10)</f>
        <v>172000</v>
      </c>
    </row>
  </sheetData>
  <mergeCells count="2">
    <mergeCell ref="B3:C3"/>
    <mergeCell ref="D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Rimess 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Tiina Pint</dc:creator>
  <cp:keywords/>
  <dc:description/>
  <cp:lastModifiedBy>Janno</cp:lastModifiedBy>
  <cp:lastPrinted>2007-01-03T10:42:00Z</cp:lastPrinted>
  <dcterms:created xsi:type="dcterms:W3CDTF">2004-11-01T09:21:32Z</dcterms:created>
  <dcterms:modified xsi:type="dcterms:W3CDTF">2009-02-15T13:02:17Z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